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<sst xmlns="http://schemas.openxmlformats.org/spreadsheetml/2006/main" count="68" uniqueCount="50">
  <si>
    <t>степень</t>
  </si>
  <si>
    <t>Числа вводить только в жёлтых ячейках !</t>
  </si>
  <si>
    <t>установл.</t>
  </si>
  <si>
    <t>в работе</t>
  </si>
  <si>
    <t>t средняя сетевой</t>
  </si>
  <si>
    <t xml:space="preserve">(постоянный расход воды через котёл) </t>
  </si>
  <si>
    <t>Qкотла max , Гкал/ч</t>
  </si>
  <si>
    <t>tвых max ,°C</t>
  </si>
  <si>
    <t>tвх max ,°C</t>
  </si>
  <si>
    <t>tвх min ,°C</t>
  </si>
  <si>
    <t>Gкотла , т/ч</t>
  </si>
  <si>
    <r>
      <t>t</t>
    </r>
    <r>
      <rPr>
        <vertAlign val="superscript"/>
        <sz val="14"/>
        <rFont val="Arial"/>
        <family val="2"/>
      </rPr>
      <t>р</t>
    </r>
    <r>
      <rPr>
        <sz val="14"/>
        <rFont val="Arial"/>
        <family val="2"/>
      </rPr>
      <t>нв ,°C</t>
    </r>
  </si>
  <si>
    <r>
      <t>t</t>
    </r>
    <r>
      <rPr>
        <vertAlign val="superscript"/>
        <sz val="14"/>
        <rFont val="Arial"/>
        <family val="2"/>
      </rPr>
      <t>р</t>
    </r>
    <r>
      <rPr>
        <sz val="14"/>
        <rFont val="Arial"/>
        <family val="2"/>
      </rPr>
      <t>вв ,°C</t>
    </r>
  </si>
  <si>
    <t>%</t>
  </si>
  <si>
    <t>кол-во котлов требуемое</t>
  </si>
  <si>
    <r>
      <t>t</t>
    </r>
    <r>
      <rPr>
        <vertAlign val="superscript"/>
        <sz val="14"/>
        <rFont val="Times New Roman"/>
        <family val="1"/>
      </rPr>
      <t>р</t>
    </r>
    <r>
      <rPr>
        <vertAlign val="subscript"/>
        <sz val="14"/>
        <rFont val="Times New Roman"/>
        <family val="1"/>
      </rPr>
      <t>1</t>
    </r>
    <r>
      <rPr>
        <sz val="14"/>
        <rFont val="Arial"/>
        <family val="2"/>
      </rPr>
      <t xml:space="preserve"> ,°C</t>
    </r>
  </si>
  <si>
    <r>
      <t>t</t>
    </r>
    <r>
      <rPr>
        <vertAlign val="superscript"/>
        <sz val="14"/>
        <rFont val="Times New Roman"/>
        <family val="1"/>
      </rPr>
      <t>р</t>
    </r>
    <r>
      <rPr>
        <vertAlign val="subscript"/>
        <sz val="14"/>
        <rFont val="Times New Roman"/>
        <family val="1"/>
      </rPr>
      <t>2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,°C</t>
    </r>
  </si>
  <si>
    <r>
      <t>t</t>
    </r>
    <r>
      <rPr>
        <vertAlign val="subscript"/>
        <sz val="14"/>
        <rFont val="Times New Roman"/>
        <family val="1"/>
      </rPr>
      <t>о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,°C</t>
    </r>
  </si>
  <si>
    <t>°С</t>
  </si>
  <si>
    <t>т/ч</t>
  </si>
  <si>
    <t>Гкал/ч</t>
  </si>
  <si>
    <r>
      <t>t</t>
    </r>
    <r>
      <rPr>
        <sz val="14"/>
        <rFont val="Arial"/>
        <family val="2"/>
      </rPr>
      <t>нв ,°C</t>
    </r>
  </si>
  <si>
    <t>доля потерь в подающем трубопроводе</t>
  </si>
  <si>
    <t>потребитель</t>
  </si>
  <si>
    <t>доля потерь в обратном трубопроводе</t>
  </si>
  <si>
    <t>надбавка температуры, °С</t>
  </si>
  <si>
    <t>убыль температуры, °С</t>
  </si>
  <si>
    <t>дальний</t>
  </si>
  <si>
    <t>расход тепла на собств.нужды</t>
  </si>
  <si>
    <t>теплопотери в сети</t>
  </si>
  <si>
    <t>Qотоп max , Гкал/ч</t>
  </si>
  <si>
    <t>собств. нужды</t>
  </si>
  <si>
    <t>...при t окр. среды,°С</t>
  </si>
  <si>
    <t>кол-во котлов</t>
  </si>
  <si>
    <t>кол-во котлов в работе</t>
  </si>
  <si>
    <t>t входа котла</t>
  </si>
  <si>
    <t>t вых котла</t>
  </si>
  <si>
    <t>теплопотери в сети, Гкал/ч</t>
  </si>
  <si>
    <r>
      <t>Q</t>
    </r>
    <r>
      <rPr>
        <vertAlign val="subscript"/>
        <sz val="14"/>
        <rFont val="Times New Roman"/>
        <family val="1"/>
      </rPr>
      <t>относит</t>
    </r>
  </si>
  <si>
    <r>
      <t>t</t>
    </r>
    <r>
      <rPr>
        <vertAlign val="subscript"/>
        <sz val="14"/>
        <rFont val="Times New Roman"/>
        <family val="1"/>
      </rPr>
      <t>нв</t>
    </r>
    <r>
      <rPr>
        <sz val="14"/>
        <rFont val="Times New Roman"/>
        <family val="1"/>
      </rPr>
      <t xml:space="preserve">  ,°C</t>
    </r>
  </si>
  <si>
    <r>
      <t>t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,°C</t>
    </r>
  </si>
  <si>
    <r>
      <t>t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,°C</t>
    </r>
  </si>
  <si>
    <r>
      <t>Q</t>
    </r>
    <r>
      <rPr>
        <vertAlign val="subscript"/>
        <sz val="10"/>
        <rFont val="MS Sans Serif"/>
        <family val="2"/>
      </rPr>
      <t>выр</t>
    </r>
    <r>
      <rPr>
        <sz val="10"/>
        <rFont val="MS Sans Serif"/>
        <family val="2"/>
      </rPr>
      <t xml:space="preserve"> , Гкал/ч</t>
    </r>
  </si>
  <si>
    <t>Построение графика требуемой температуры воды на общем выходе котлов</t>
  </si>
  <si>
    <t>Результаты расчёта циркуляционных расходов воды</t>
  </si>
  <si>
    <r>
      <t>t</t>
    </r>
    <r>
      <rPr>
        <vertAlign val="subscript"/>
        <sz val="14"/>
        <rFont val="Times New Roman"/>
        <family val="1"/>
      </rPr>
      <t>1</t>
    </r>
    <r>
      <rPr>
        <sz val="14"/>
        <rFont val="Arial"/>
        <family val="2"/>
      </rPr>
      <t xml:space="preserve"> ,°C</t>
    </r>
  </si>
  <si>
    <r>
      <t>t</t>
    </r>
    <r>
      <rPr>
        <vertAlign val="subscript"/>
        <sz val="14"/>
        <rFont val="Times New Roman"/>
        <family val="1"/>
      </rPr>
      <t>2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,°C</t>
    </r>
  </si>
  <si>
    <t>Qгвс ср , Гкал/ч</t>
  </si>
  <si>
    <t>Qотоп.отпуск max, Гкал/ч</t>
  </si>
  <si>
    <t>Qгвс отпуск ср , Гкал/ч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</si>
</sst>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0.0%"/>
    <numFmt numFmtId="183" formatCode="0.0"/>
    <numFmt numFmtId="184" formatCode="0.000"/>
  </numFmts>
  <fonts count="35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Symbol"/>
      <family val="1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8"/>
      <color indexed="8"/>
      <name val="MS Sans Serif"/>
      <family val="0"/>
    </font>
    <font>
      <vertAlign val="subscript"/>
      <sz val="10"/>
      <name val="MS Sans Serif"/>
      <family val="2"/>
    </font>
    <font>
      <sz val="11.75"/>
      <color indexed="8"/>
      <name val="Arial Cyr"/>
      <family val="0"/>
    </font>
    <font>
      <sz val="12"/>
      <color indexed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9" borderId="0" xfId="0" applyFill="1" applyAlignment="1">
      <alignment/>
    </xf>
    <xf numFmtId="0" fontId="1" fillId="9" borderId="0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2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 horizontal="left"/>
    </xf>
    <xf numFmtId="0" fontId="0" fillId="5" borderId="0" xfId="0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" fillId="9" borderId="0" xfId="0" applyFont="1" applyFill="1" applyAlignment="1">
      <alignment/>
    </xf>
    <xf numFmtId="0" fontId="6" fillId="5" borderId="1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center" vertical="center"/>
    </xf>
    <xf numFmtId="0" fontId="6" fillId="9" borderId="0" xfId="0" applyFont="1" applyFill="1" applyAlignment="1">
      <alignment/>
    </xf>
    <xf numFmtId="0" fontId="6" fillId="9" borderId="14" xfId="0" applyFont="1" applyFill="1" applyBorder="1" applyAlignment="1">
      <alignment horizontal="left"/>
    </xf>
    <xf numFmtId="0" fontId="6" fillId="9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6" fillId="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9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7" borderId="26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0" fillId="9" borderId="15" xfId="0" applyFill="1" applyBorder="1" applyAlignment="1">
      <alignment horizontal="center"/>
    </xf>
    <xf numFmtId="0" fontId="6" fillId="7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0" fillId="9" borderId="0" xfId="0" applyFont="1" applyFill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9" borderId="32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0" borderId="14" xfId="0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4" fillId="0" borderId="33" xfId="0" applyFont="1" applyFill="1" applyBorder="1" applyAlignment="1">
      <alignment/>
    </xf>
    <xf numFmtId="0" fontId="0" fillId="9" borderId="34" xfId="0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9" borderId="31" xfId="0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9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9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9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9" borderId="15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9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9" borderId="34" xfId="0" applyFill="1" applyBorder="1" applyAlignment="1">
      <alignment horizontal="left"/>
    </xf>
    <xf numFmtId="9" fontId="1" fillId="9" borderId="25" xfId="0" applyNumberFormat="1" applyFont="1" applyFill="1" applyBorder="1" applyAlignment="1">
      <alignment horizontal="left"/>
    </xf>
    <xf numFmtId="9" fontId="1" fillId="9" borderId="24" xfId="0" applyNumberFormat="1" applyFont="1" applyFill="1" applyBorder="1" applyAlignment="1">
      <alignment horizontal="left"/>
    </xf>
    <xf numFmtId="0" fontId="0" fillId="9" borderId="0" xfId="0" applyNumberFormat="1" applyFill="1" applyAlignment="1">
      <alignment/>
    </xf>
    <xf numFmtId="183" fontId="1" fillId="0" borderId="25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Alignment="1">
      <alignment horizontal="right"/>
    </xf>
    <xf numFmtId="183" fontId="1" fillId="0" borderId="24" xfId="0" applyNumberFormat="1" applyFont="1" applyFill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17" xfId="0" applyNumberFormat="1" applyFont="1" applyFill="1" applyBorder="1" applyAlignment="1">
      <alignment/>
    </xf>
    <xf numFmtId="0" fontId="0" fillId="9" borderId="0" xfId="0" applyFill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33" xfId="0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184" fontId="1" fillId="0" borderId="19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 horizontal="right"/>
    </xf>
    <xf numFmtId="0" fontId="0" fillId="9" borderId="14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75"/>
          <c:w val="0.966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Лист1!$C$41:$C$76</c:f>
              <c:numCache/>
            </c:numRef>
          </c:xVal>
          <c:yVal>
            <c:numRef>
              <c:f>Лист1!$M$41:$M$76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Лист1!$C$41:$C$76</c:f>
              <c:numCache/>
            </c:numRef>
          </c:xVal>
          <c:yVal>
            <c:numRef>
              <c:f>Лист1!$E$41:$E$76</c:f>
              <c:numCache/>
            </c:numRef>
          </c:yVal>
          <c:smooth val="1"/>
        </c:ser>
        <c:axId val="35585850"/>
        <c:axId val="51837195"/>
      </c:scatterChart>
      <c:valAx>
        <c:axId val="35585850"/>
        <c:scaling>
          <c:orientation val="minMax"/>
          <c:max val="20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 val="autoZero"/>
        <c:crossBetween val="midCat"/>
        <c:dispUnits/>
        <c:majorUnit val="5"/>
        <c:minorUnit val="5"/>
      </c:valAx>
      <c:valAx>
        <c:axId val="51837195"/>
        <c:scaling>
          <c:orientation val="minMax"/>
          <c:max val="12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76200</xdr:rowOff>
    </xdr:from>
    <xdr:to>
      <xdr:col>16</xdr:col>
      <xdr:colOff>190500</xdr:colOff>
      <xdr:row>15</xdr:row>
      <xdr:rowOff>161925</xdr:rowOff>
    </xdr:to>
    <xdr:graphicFrame>
      <xdr:nvGraphicFramePr>
        <xdr:cNvPr id="1" name="Диаграмма 81"/>
        <xdr:cNvGraphicFramePr/>
      </xdr:nvGraphicFramePr>
      <xdr:xfrm>
        <a:off x="5572125" y="304800"/>
        <a:ext cx="57531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409575</xdr:colOff>
      <xdr:row>26</xdr:row>
      <xdr:rowOff>228600</xdr:rowOff>
    </xdr:from>
    <xdr:ext cx="533400" cy="514350"/>
    <xdr:grpSp>
      <xdr:nvGrpSpPr>
        <xdr:cNvPr id="2" name="Group 201"/>
        <xdr:cNvGrpSpPr>
          <a:grpSpLocks/>
        </xdr:cNvGrpSpPr>
      </xdr:nvGrpSpPr>
      <xdr:grpSpPr>
        <a:xfrm rot="10800000">
          <a:off x="4610100" y="6657975"/>
          <a:ext cx="533400" cy="514350"/>
          <a:chOff x="537" y="194"/>
          <a:chExt cx="51" cy="53"/>
        </a:xfrm>
        <a:solidFill>
          <a:srgbClr val="FFFFFF"/>
        </a:solidFill>
      </xdr:grpSpPr>
      <xdr:sp>
        <xdr:nvSpPr>
          <xdr:cNvPr id="3" name="Oval 202"/>
          <xdr:cNvSpPr>
            <a:spLocks/>
          </xdr:cNvSpPr>
        </xdr:nvSpPr>
        <xdr:spPr>
          <a:xfrm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AutoShape 203"/>
          <xdr:cNvSpPr>
            <a:spLocks/>
          </xdr:cNvSpPr>
        </xdr:nvSpPr>
        <xdr:spPr>
          <a:xfrm rot="5400000">
            <a:off x="566" y="210"/>
            <a:ext cx="19" cy="2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  <xdr:oneCellAnchor>
    <xdr:from>
      <xdr:col>17</xdr:col>
      <xdr:colOff>504825</xdr:colOff>
      <xdr:row>19</xdr:row>
      <xdr:rowOff>142875</xdr:rowOff>
    </xdr:from>
    <xdr:ext cx="219075" cy="228600"/>
    <xdr:sp>
      <xdr:nvSpPr>
        <xdr:cNvPr id="5" name="AutoShape 211"/>
        <xdr:cNvSpPr>
          <a:spLocks/>
        </xdr:cNvSpPr>
      </xdr:nvSpPr>
      <xdr:spPr>
        <a:xfrm rot="5400000">
          <a:off x="12239625" y="4886325"/>
          <a:ext cx="2190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428625</xdr:colOff>
      <xdr:row>26</xdr:row>
      <xdr:rowOff>228600</xdr:rowOff>
    </xdr:from>
    <xdr:ext cx="514350" cy="523875"/>
    <xdr:grpSp>
      <xdr:nvGrpSpPr>
        <xdr:cNvPr id="6" name="Group 213"/>
        <xdr:cNvGrpSpPr>
          <a:grpSpLocks/>
        </xdr:cNvGrpSpPr>
      </xdr:nvGrpSpPr>
      <xdr:grpSpPr>
        <a:xfrm rot="10800000">
          <a:off x="10334625" y="6657975"/>
          <a:ext cx="514350" cy="523875"/>
          <a:chOff x="537" y="194"/>
          <a:chExt cx="51" cy="53"/>
        </a:xfrm>
        <a:solidFill>
          <a:srgbClr val="FFFFFF"/>
        </a:solidFill>
      </xdr:grpSpPr>
      <xdr:sp>
        <xdr:nvSpPr>
          <xdr:cNvPr id="7" name="Oval 214"/>
          <xdr:cNvSpPr>
            <a:spLocks/>
          </xdr:cNvSpPr>
        </xdr:nvSpPr>
        <xdr:spPr>
          <a:xfrm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" name="AutoShape 215"/>
          <xdr:cNvSpPr>
            <a:spLocks/>
          </xdr:cNvSpPr>
        </xdr:nvSpPr>
        <xdr:spPr>
          <a:xfrm rot="5400000">
            <a:off x="566" y="210"/>
            <a:ext cx="19" cy="2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  <xdr:oneCellAnchor>
    <xdr:from>
      <xdr:col>17</xdr:col>
      <xdr:colOff>523875</xdr:colOff>
      <xdr:row>27</xdr:row>
      <xdr:rowOff>142875</xdr:rowOff>
    </xdr:from>
    <xdr:ext cx="200025" cy="219075"/>
    <xdr:sp>
      <xdr:nvSpPr>
        <xdr:cNvPr id="9" name="AutoShape 258"/>
        <xdr:cNvSpPr>
          <a:spLocks/>
        </xdr:cNvSpPr>
      </xdr:nvSpPr>
      <xdr:spPr>
        <a:xfrm rot="16200000">
          <a:off x="12258675" y="6810375"/>
          <a:ext cx="200025" cy="2190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66675</xdr:colOff>
      <xdr:row>22</xdr:row>
      <xdr:rowOff>114300</xdr:rowOff>
    </xdr:from>
    <xdr:ext cx="0" cy="447675"/>
    <xdr:sp>
      <xdr:nvSpPr>
        <xdr:cNvPr id="10" name="Line 267"/>
        <xdr:cNvSpPr>
          <a:spLocks/>
        </xdr:cNvSpPr>
      </xdr:nvSpPr>
      <xdr:spPr>
        <a:xfrm flipV="1">
          <a:off x="9972675" y="5581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76200</xdr:colOff>
      <xdr:row>23</xdr:row>
      <xdr:rowOff>76200</xdr:rowOff>
    </xdr:from>
    <xdr:ext cx="0" cy="447675"/>
    <xdr:sp>
      <xdr:nvSpPr>
        <xdr:cNvPr id="11" name="Line 268"/>
        <xdr:cNvSpPr>
          <a:spLocks/>
        </xdr:cNvSpPr>
      </xdr:nvSpPr>
      <xdr:spPr>
        <a:xfrm rot="10800000" flipV="1">
          <a:off x="6105525" y="5781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10</xdr:col>
      <xdr:colOff>342900</xdr:colOff>
      <xdr:row>24</xdr:row>
      <xdr:rowOff>228600</xdr:rowOff>
    </xdr:from>
    <xdr:ext cx="533400" cy="514350"/>
    <xdr:grpSp>
      <xdr:nvGrpSpPr>
        <xdr:cNvPr id="12" name="Group 269"/>
        <xdr:cNvGrpSpPr>
          <a:grpSpLocks/>
        </xdr:cNvGrpSpPr>
      </xdr:nvGrpSpPr>
      <xdr:grpSpPr>
        <a:xfrm rot="5400000">
          <a:off x="7743825" y="6181725"/>
          <a:ext cx="533400" cy="514350"/>
          <a:chOff x="537" y="194"/>
          <a:chExt cx="51" cy="53"/>
        </a:xfrm>
        <a:solidFill>
          <a:srgbClr val="FFFFFF"/>
        </a:solidFill>
      </xdr:grpSpPr>
      <xdr:sp>
        <xdr:nvSpPr>
          <xdr:cNvPr id="13" name="Oval 270"/>
          <xdr:cNvSpPr>
            <a:spLocks/>
          </xdr:cNvSpPr>
        </xdr:nvSpPr>
        <xdr:spPr>
          <a:xfrm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AutoShape 271"/>
          <xdr:cNvSpPr>
            <a:spLocks/>
          </xdr:cNvSpPr>
        </xdr:nvSpPr>
        <xdr:spPr>
          <a:xfrm rot="5400000">
            <a:off x="566" y="210"/>
            <a:ext cx="19" cy="2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  <xdr:oneCellAnchor>
    <xdr:from>
      <xdr:col>8</xdr:col>
      <xdr:colOff>561975</xdr:colOff>
      <xdr:row>27</xdr:row>
      <xdr:rowOff>152400</xdr:rowOff>
    </xdr:from>
    <xdr:ext cx="457200" cy="0"/>
    <xdr:sp>
      <xdr:nvSpPr>
        <xdr:cNvPr id="15" name="Line 272"/>
        <xdr:cNvSpPr>
          <a:spLocks/>
        </xdr:cNvSpPr>
      </xdr:nvSpPr>
      <xdr:spPr>
        <a:xfrm rot="16200000" flipV="1">
          <a:off x="6591300" y="6819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561975</xdr:colOff>
      <xdr:row>27</xdr:row>
      <xdr:rowOff>152400</xdr:rowOff>
    </xdr:from>
    <xdr:ext cx="457200" cy="0"/>
    <xdr:sp>
      <xdr:nvSpPr>
        <xdr:cNvPr id="16" name="Line 273"/>
        <xdr:cNvSpPr>
          <a:spLocks/>
        </xdr:cNvSpPr>
      </xdr:nvSpPr>
      <xdr:spPr>
        <a:xfrm rot="16200000" flipV="1">
          <a:off x="8572500" y="6819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257175</xdr:colOff>
      <xdr:row>18</xdr:row>
      <xdr:rowOff>238125</xdr:rowOff>
    </xdr:from>
    <xdr:ext cx="447675" cy="0"/>
    <xdr:sp>
      <xdr:nvSpPr>
        <xdr:cNvPr id="17" name="Line 274"/>
        <xdr:cNvSpPr>
          <a:spLocks/>
        </xdr:cNvSpPr>
      </xdr:nvSpPr>
      <xdr:spPr>
        <a:xfrm rot="5400000" flipV="1">
          <a:off x="6962775" y="4733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228600</xdr:rowOff>
    </xdr:from>
    <xdr:ext cx="447675" cy="0"/>
    <xdr:sp>
      <xdr:nvSpPr>
        <xdr:cNvPr id="18" name="Line 275"/>
        <xdr:cNvSpPr>
          <a:spLocks/>
        </xdr:cNvSpPr>
      </xdr:nvSpPr>
      <xdr:spPr>
        <a:xfrm rot="5400000" flipV="1">
          <a:off x="82391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13</xdr:col>
      <xdr:colOff>495300</xdr:colOff>
      <xdr:row>18</xdr:row>
      <xdr:rowOff>66675</xdr:rowOff>
    </xdr:from>
    <xdr:ext cx="342900" cy="590550"/>
    <xdr:grpSp>
      <xdr:nvGrpSpPr>
        <xdr:cNvPr id="19" name="Группа 5"/>
        <xdr:cNvGrpSpPr>
          <a:grpSpLocks/>
        </xdr:cNvGrpSpPr>
      </xdr:nvGrpSpPr>
      <xdr:grpSpPr>
        <a:xfrm rot="10800000">
          <a:off x="9725025" y="4562475"/>
          <a:ext cx="342900" cy="590550"/>
          <a:chOff x="9629067" y="5137916"/>
          <a:chExt cx="332491" cy="598011"/>
        </a:xfrm>
        <a:solidFill>
          <a:srgbClr val="FFFFFF"/>
        </a:solidFill>
      </xdr:grpSpPr>
      <xdr:grpSp>
        <xdr:nvGrpSpPr>
          <xdr:cNvPr id="20" name="Группа 4"/>
          <xdr:cNvGrpSpPr>
            <a:grpSpLocks/>
          </xdr:cNvGrpSpPr>
        </xdr:nvGrpSpPr>
        <xdr:grpSpPr>
          <a:xfrm>
            <a:off x="9629067" y="5137916"/>
            <a:ext cx="332491" cy="513093"/>
            <a:chOff x="9629067" y="5137916"/>
            <a:chExt cx="332491" cy="513084"/>
          </a:xfrm>
          <a:solidFill>
            <a:srgbClr val="FFFFFF"/>
          </a:solidFill>
        </xdr:grpSpPr>
        <xdr:grpSp>
          <xdr:nvGrpSpPr>
            <xdr:cNvPr id="21" name="Group 246"/>
            <xdr:cNvGrpSpPr>
              <a:grpSpLocks/>
            </xdr:cNvGrpSpPr>
          </xdr:nvGrpSpPr>
          <xdr:grpSpPr>
            <a:xfrm rot="10800000">
              <a:off x="9629067" y="5137916"/>
              <a:ext cx="332491" cy="270908"/>
              <a:chOff x="587" y="308"/>
              <a:chExt cx="35" cy="28"/>
            </a:xfrm>
            <a:solidFill>
              <a:srgbClr val="FFFFFF"/>
            </a:solidFill>
          </xdr:grpSpPr>
          <xdr:sp>
            <xdr:nvSpPr>
              <xdr:cNvPr id="22" name="AutoShape 247"/>
              <xdr:cNvSpPr>
                <a:spLocks/>
              </xdr:cNvSpPr>
            </xdr:nvSpPr>
            <xdr:spPr>
              <a:xfrm>
                <a:off x="595" y="319"/>
                <a:ext cx="20" cy="17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23" name="AutoShape 248"/>
              <xdr:cNvSpPr>
                <a:spLocks/>
              </xdr:cNvSpPr>
            </xdr:nvSpPr>
            <xdr:spPr>
              <a:xfrm rot="5400000">
                <a:off x="587" y="309"/>
                <a:ext cx="20" cy="17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24" name="AutoShape 249"/>
              <xdr:cNvSpPr>
                <a:spLocks/>
              </xdr:cNvSpPr>
            </xdr:nvSpPr>
            <xdr:spPr>
              <a:xfrm rot="16200000">
                <a:off x="605" y="308"/>
                <a:ext cx="17" cy="20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sp>
          <xdr:nvSpPr>
            <xdr:cNvPr id="25" name="Line 220"/>
            <xdr:cNvSpPr>
              <a:spLocks/>
            </xdr:cNvSpPr>
          </xdr:nvSpPr>
          <xdr:spPr>
            <a:xfrm rot="16200000">
              <a:off x="9790575" y="5312236"/>
              <a:ext cx="0" cy="3387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26" name="Oval 262"/>
          <xdr:cNvSpPr>
            <a:spLocks/>
          </xdr:cNvSpPr>
        </xdr:nvSpPr>
        <xdr:spPr>
          <a:xfrm rot="5400000">
            <a:off x="9713270" y="5560411"/>
            <a:ext cx="173311" cy="1755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showGridLines="0" tabSelected="1" zoomScale="75" zoomScaleNormal="75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6.421875" style="0" customWidth="1"/>
    <col min="9" max="9" width="10.140625" style="0" customWidth="1"/>
    <col min="10" max="10" width="10.421875" style="0" bestFit="1" customWidth="1"/>
    <col min="14" max="14" width="10.140625" style="0" customWidth="1"/>
    <col min="15" max="15" width="10.28125" style="0" customWidth="1"/>
    <col min="16" max="16" width="8.140625" style="0" customWidth="1"/>
    <col min="17" max="17" width="9.00390625" style="0" customWidth="1"/>
    <col min="18" max="18" width="10.8515625" style="0" customWidth="1"/>
    <col min="19" max="19" width="8.140625" style="0" customWidth="1"/>
    <col min="20" max="20" width="7.421875" style="0" customWidth="1"/>
    <col min="21" max="21" width="8.140625" style="0" customWidth="1"/>
    <col min="23" max="23" width="13.57421875" style="0" customWidth="1"/>
    <col min="24" max="24" width="20.8515625" style="0" customWidth="1"/>
    <col min="25" max="26" width="8.28125" style="0" customWidth="1"/>
    <col min="27" max="27" width="11.140625" style="0" customWidth="1"/>
    <col min="28" max="28" width="14.8515625" style="0" customWidth="1"/>
    <col min="29" max="29" width="6.7109375" style="0" customWidth="1"/>
  </cols>
  <sheetData>
    <row r="1" spans="1:21" ht="18">
      <c r="A1" s="16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>
      <c r="A2" s="16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>
      <c r="A3" s="58" t="s">
        <v>1</v>
      </c>
      <c r="B3" s="9"/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>
      <c r="A4" s="4"/>
      <c r="B4" s="3"/>
      <c r="C4" s="14"/>
      <c r="D4" s="3"/>
      <c r="E4" s="3"/>
      <c r="F4" s="15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>
      <c r="A5" s="22" t="s">
        <v>11</v>
      </c>
      <c r="B5" s="17">
        <v>-27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>
      <c r="A6" s="22" t="s">
        <v>12</v>
      </c>
      <c r="B6" s="17">
        <v>18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>
      <c r="A7" s="19" t="s">
        <v>15</v>
      </c>
      <c r="B7" s="17">
        <v>95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>
      <c r="A8" s="19" t="s">
        <v>16</v>
      </c>
      <c r="B8" s="17">
        <v>70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>
      <c r="A9" s="22" t="s">
        <v>0</v>
      </c>
      <c r="B9" s="17">
        <v>0.8</v>
      </c>
      <c r="C9" s="3"/>
      <c r="D9" s="1"/>
      <c r="E9" s="1"/>
      <c r="F9" s="1"/>
      <c r="G9" s="1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25">
      <c r="A10" s="20" t="s">
        <v>17</v>
      </c>
      <c r="B10" s="18">
        <f>ROUND((B7+B8)/2,1)</f>
        <v>82.5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>
      <c r="A11" s="21" t="s">
        <v>30</v>
      </c>
      <c r="B11" s="17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>
      <c r="A12" s="21" t="s">
        <v>47</v>
      </c>
      <c r="B12" s="17"/>
      <c r="C12" s="1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>
      <c r="A13" s="16"/>
      <c r="B13" s="1"/>
      <c r="C13" s="1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>
      <c r="A14" s="21" t="s">
        <v>29</v>
      </c>
      <c r="B14" s="17">
        <v>5</v>
      </c>
      <c r="C14" s="25" t="s">
        <v>13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>
      <c r="A15" s="55" t="s">
        <v>32</v>
      </c>
      <c r="B15" s="17">
        <v>40</v>
      </c>
      <c r="C15" s="2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.75">
      <c r="A16" s="5"/>
      <c r="B16" s="2"/>
      <c r="C16" s="2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thickBot="1">
      <c r="A17" s="5"/>
      <c r="B17" s="2"/>
      <c r="C17" s="1"/>
      <c r="D17" s="16" t="s">
        <v>44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25" thickBot="1" thickTop="1">
      <c r="A18" s="5"/>
      <c r="B18" s="2"/>
      <c r="C18" s="3"/>
      <c r="D18" s="52" t="s">
        <v>21</v>
      </c>
      <c r="E18" s="30">
        <v>8</v>
      </c>
      <c r="F18" s="1"/>
      <c r="G18" s="3"/>
      <c r="H18" s="3"/>
      <c r="I18" s="3"/>
      <c r="J18" s="1"/>
      <c r="K18" s="1"/>
      <c r="L18" s="1"/>
      <c r="M18" s="1"/>
      <c r="N18" s="1"/>
      <c r="O18" s="3"/>
      <c r="P18" s="3"/>
      <c r="Q18" s="3"/>
      <c r="R18" s="1"/>
      <c r="S18" s="1"/>
      <c r="T18" s="1"/>
      <c r="U18" s="34" t="s">
        <v>27</v>
      </c>
    </row>
    <row r="19" spans="1:21" ht="19.5" thickTop="1">
      <c r="A19" s="5"/>
      <c r="B19" s="2"/>
      <c r="C19" s="3"/>
      <c r="D19" s="35"/>
      <c r="E19" s="37"/>
      <c r="F19" s="37"/>
      <c r="G19" s="35"/>
      <c r="H19" s="35"/>
      <c r="I19" s="37"/>
      <c r="J19" s="37"/>
      <c r="K19" s="37"/>
      <c r="L19" s="37"/>
      <c r="M19" s="37"/>
      <c r="N19" s="37"/>
      <c r="O19" s="37"/>
      <c r="P19" s="35"/>
      <c r="Q19" s="35"/>
      <c r="R19" s="35"/>
      <c r="S19" s="38"/>
      <c r="T19" s="38"/>
      <c r="U19" s="34" t="s">
        <v>23</v>
      </c>
    </row>
    <row r="20" spans="1:21" ht="18.75">
      <c r="A20" s="21" t="s">
        <v>28</v>
      </c>
      <c r="B20" s="17">
        <v>2.26</v>
      </c>
      <c r="C20" s="25" t="s">
        <v>13</v>
      </c>
      <c r="D20" s="36"/>
      <c r="E20" s="112">
        <f>M78</f>
        <v>87.24070605225214</v>
      </c>
      <c r="F20" s="37" t="s">
        <v>18</v>
      </c>
      <c r="G20" s="35">
        <f>B28*E23</f>
        <v>107.5</v>
      </c>
      <c r="H20" s="49" t="s">
        <v>19</v>
      </c>
      <c r="I20" s="107">
        <f>1-I23</f>
        <v>0.4214606969511733</v>
      </c>
      <c r="J20" s="114">
        <f>L25+L20</f>
        <v>45.30702492225114</v>
      </c>
      <c r="K20" s="36" t="s">
        <v>19</v>
      </c>
      <c r="L20" s="114">
        <f>N20*O20</f>
        <v>44.28308615900826</v>
      </c>
      <c r="M20" s="36" t="s">
        <v>19</v>
      </c>
      <c r="N20" s="107">
        <f>1-O22</f>
        <v>0.11070771539752067</v>
      </c>
      <c r="O20" s="112">
        <f>((B11+B12)/(0.001*(B7-B8)))</f>
        <v>400</v>
      </c>
      <c r="P20" s="37" t="s">
        <v>19</v>
      </c>
      <c r="Q20" s="111">
        <f>R78+T20</f>
        <v>40.31227728189196</v>
      </c>
      <c r="R20" s="35" t="s">
        <v>18</v>
      </c>
      <c r="S20" s="38"/>
      <c r="T20" s="111">
        <f>E78</f>
        <v>40.12326799396626</v>
      </c>
      <c r="U20" s="35" t="s">
        <v>18</v>
      </c>
    </row>
    <row r="21" spans="1:21" ht="19.5" thickBot="1">
      <c r="A21" s="27" t="s">
        <v>48</v>
      </c>
      <c r="B21" s="26">
        <f>100*B11/(100-B14)</f>
        <v>10.526315789473685</v>
      </c>
      <c r="C21" s="1"/>
      <c r="D21" s="36"/>
      <c r="E21" s="31"/>
      <c r="F21" s="40"/>
      <c r="G21" s="40"/>
      <c r="H21" s="128"/>
      <c r="I21" s="60"/>
      <c r="J21" s="41"/>
      <c r="K21" s="59"/>
      <c r="L21" s="41"/>
      <c r="M21" s="41"/>
      <c r="N21" s="32"/>
      <c r="O21" s="40"/>
      <c r="P21" s="41"/>
      <c r="Q21" s="40"/>
      <c r="R21" s="40"/>
      <c r="S21" s="38"/>
      <c r="T21" s="38"/>
      <c r="U21" s="38"/>
    </row>
    <row r="22" spans="1:21" ht="18.75">
      <c r="A22" s="27" t="s">
        <v>49</v>
      </c>
      <c r="B22" s="26">
        <f>100*B12/(100-B14)</f>
        <v>0</v>
      </c>
      <c r="C22" s="3"/>
      <c r="D22" s="10" t="s">
        <v>33</v>
      </c>
      <c r="E22" s="11"/>
      <c r="F22" s="36"/>
      <c r="G22" s="36"/>
      <c r="H22" s="42"/>
      <c r="I22" s="79"/>
      <c r="J22" s="43"/>
      <c r="K22" s="60" t="s">
        <v>31</v>
      </c>
      <c r="L22" s="32"/>
      <c r="M22" s="43"/>
      <c r="N22" s="42"/>
      <c r="O22" s="108">
        <f>IF((E20-Q20)/(E20-Q28)&gt;0,(E20-Q20)/(E20-Q28),0)</f>
        <v>0.8892922846024793</v>
      </c>
      <c r="P22" s="43"/>
      <c r="Q22" s="43"/>
      <c r="R22" s="35"/>
      <c r="S22" s="38"/>
      <c r="T22" s="38"/>
      <c r="U22" s="38"/>
    </row>
    <row r="23" spans="1:21" ht="18.75">
      <c r="A23" s="21" t="s">
        <v>6</v>
      </c>
      <c r="B23" s="17">
        <v>4.3</v>
      </c>
      <c r="C23" s="8"/>
      <c r="D23" s="44" t="s">
        <v>3</v>
      </c>
      <c r="E23" s="12">
        <f>J78</f>
        <v>1</v>
      </c>
      <c r="F23" s="123">
        <f>I78</f>
        <v>2.3908759006171048</v>
      </c>
      <c r="G23" s="37" t="s">
        <v>20</v>
      </c>
      <c r="H23" s="126"/>
      <c r="I23" s="108">
        <f>IF((E28-Q28)/(E20-Q28)&gt;0,(E28-Q28)/(E20-Q28),0)</f>
        <v>0.5785393030488267</v>
      </c>
      <c r="J23" s="43"/>
      <c r="K23" s="122">
        <f>F23*B20*0.01</f>
        <v>0.05403379535394656</v>
      </c>
      <c r="L23" s="61" t="s">
        <v>20</v>
      </c>
      <c r="M23" s="43"/>
      <c r="N23" s="42"/>
      <c r="O23" s="36"/>
      <c r="P23" s="36"/>
      <c r="Q23" s="43"/>
      <c r="R23" s="43"/>
      <c r="S23" s="38"/>
      <c r="T23" s="38"/>
      <c r="U23" s="38"/>
    </row>
    <row r="24" spans="1:21" ht="19.5" thickBot="1">
      <c r="A24" s="26" t="s">
        <v>14</v>
      </c>
      <c r="B24" s="24">
        <f>ROUNDUP((((B21+B22)*100/(100-B20))/B23),0)</f>
        <v>3</v>
      </c>
      <c r="C24" s="1"/>
      <c r="D24" s="45" t="s">
        <v>2</v>
      </c>
      <c r="E24" s="13">
        <f>B24</f>
        <v>3</v>
      </c>
      <c r="F24" s="46"/>
      <c r="G24" s="47"/>
      <c r="H24" s="127"/>
      <c r="I24" s="115">
        <f>IF(G20-J20&gt;0,G20-J20,0)</f>
        <v>62.19297507774886</v>
      </c>
      <c r="J24" s="43" t="s">
        <v>19</v>
      </c>
      <c r="K24" s="32"/>
      <c r="L24" s="117">
        <f>Q28</f>
        <v>34.47017201873406</v>
      </c>
      <c r="M24" s="37" t="s">
        <v>18</v>
      </c>
      <c r="N24" s="42"/>
      <c r="O24" s="114">
        <f>O20*O22</f>
        <v>355.7169138409917</v>
      </c>
      <c r="P24" s="36" t="s">
        <v>19</v>
      </c>
      <c r="Q24" s="36"/>
      <c r="R24" s="43"/>
      <c r="S24" s="38"/>
      <c r="T24" s="38"/>
      <c r="U24" s="38"/>
    </row>
    <row r="25" spans="1:21" ht="18.75">
      <c r="A25" s="3"/>
      <c r="B25" s="5"/>
      <c r="C25" s="3"/>
      <c r="D25" s="36"/>
      <c r="E25" s="48"/>
      <c r="F25" s="35"/>
      <c r="G25" s="56"/>
      <c r="H25" s="56"/>
      <c r="I25" s="48"/>
      <c r="J25" s="35"/>
      <c r="K25" s="42"/>
      <c r="L25" s="116">
        <f>1000*K23/(E20-Q28)</f>
        <v>1.0239387632428754</v>
      </c>
      <c r="M25" s="36" t="s">
        <v>19</v>
      </c>
      <c r="N25" s="42"/>
      <c r="O25" s="39"/>
      <c r="P25" s="43"/>
      <c r="Q25" s="43"/>
      <c r="R25" s="43"/>
      <c r="S25" s="38"/>
      <c r="T25" s="38"/>
      <c r="U25" s="38"/>
    </row>
    <row r="26" spans="1:21" ht="18.75">
      <c r="A26" s="21" t="s">
        <v>7</v>
      </c>
      <c r="B26" s="17">
        <v>110</v>
      </c>
      <c r="C26" s="1"/>
      <c r="D26" s="36"/>
      <c r="E26" s="48"/>
      <c r="F26" s="35"/>
      <c r="G26" s="56"/>
      <c r="H26" s="56"/>
      <c r="I26" s="48"/>
      <c r="J26" s="35"/>
      <c r="K26" s="42"/>
      <c r="L26" s="43"/>
      <c r="M26" s="43"/>
      <c r="N26" s="42"/>
      <c r="O26" s="39"/>
      <c r="P26" s="43"/>
      <c r="Q26" s="43"/>
      <c r="R26" s="43"/>
      <c r="S26" s="38"/>
      <c r="T26" s="38"/>
      <c r="U26" s="38"/>
    </row>
    <row r="27" spans="1:21" ht="18.75">
      <c r="A27" s="21" t="s">
        <v>8</v>
      </c>
      <c r="B27" s="17">
        <v>70</v>
      </c>
      <c r="C27" s="1"/>
      <c r="D27" s="36"/>
      <c r="E27" s="79"/>
      <c r="F27" s="35"/>
      <c r="H27" s="56"/>
      <c r="I27" s="48"/>
      <c r="J27" s="35"/>
      <c r="K27" s="42"/>
      <c r="L27" s="43"/>
      <c r="M27" s="43"/>
      <c r="N27" s="42"/>
      <c r="O27" s="39"/>
      <c r="P27" s="43"/>
      <c r="Q27" s="43"/>
      <c r="R27" s="43"/>
      <c r="S27" s="38"/>
      <c r="T27" s="38"/>
      <c r="U27" s="38"/>
    </row>
    <row r="28" spans="1:21" ht="18.75">
      <c r="A28" s="23" t="s">
        <v>10</v>
      </c>
      <c r="B28" s="18">
        <f>B23/((B26-IF(B27&gt;B8,B27,B8))*0.001)</f>
        <v>107.5</v>
      </c>
      <c r="C28" s="1"/>
      <c r="D28" s="36"/>
      <c r="E28" s="124">
        <f>E20-F23*1000/G20</f>
        <v>65</v>
      </c>
      <c r="F28" s="49" t="s">
        <v>18</v>
      </c>
      <c r="G28" s="50"/>
      <c r="H28" s="57"/>
      <c r="I28" s="33"/>
      <c r="J28" s="53"/>
      <c r="K28" s="61"/>
      <c r="L28" s="33"/>
      <c r="M28" s="53"/>
      <c r="N28" s="61"/>
      <c r="O28" s="62"/>
      <c r="P28" s="62"/>
      <c r="Q28" s="110">
        <f>T28-U78</f>
        <v>34.47017201873406</v>
      </c>
      <c r="R28" s="49" t="s">
        <v>18</v>
      </c>
      <c r="S28" s="38"/>
      <c r="T28" s="111">
        <f>H78</f>
        <v>34.57326799396626</v>
      </c>
      <c r="U28" s="35" t="s">
        <v>18</v>
      </c>
    </row>
    <row r="29" spans="1:21" ht="18.75">
      <c r="A29" s="22" t="s">
        <v>9</v>
      </c>
      <c r="B29" s="17">
        <v>65</v>
      </c>
      <c r="C29" s="1"/>
      <c r="D29" s="36"/>
      <c r="E29" s="36"/>
      <c r="F29" s="36"/>
      <c r="G29" s="36"/>
      <c r="H29" s="51"/>
      <c r="I29" s="36"/>
      <c r="J29" s="113">
        <f>J20</f>
        <v>45.30702492225114</v>
      </c>
      <c r="K29" s="36" t="s">
        <v>19</v>
      </c>
      <c r="L29" s="36"/>
      <c r="M29" s="113">
        <f>L20</f>
        <v>44.28308615900826</v>
      </c>
      <c r="N29" s="36" t="s">
        <v>19</v>
      </c>
      <c r="O29" s="36"/>
      <c r="P29" s="36"/>
      <c r="Q29" s="36"/>
      <c r="R29" s="36"/>
      <c r="S29" s="38"/>
      <c r="T29" s="38"/>
      <c r="U29" s="38"/>
    </row>
    <row r="30" spans="1:21" ht="18.75">
      <c r="A30" s="3"/>
      <c r="B30" s="5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.75">
      <c r="A31" s="3"/>
      <c r="B31" s="5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.75">
      <c r="A32" s="3"/>
      <c r="B32" s="3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>
      <c r="A33" s="3"/>
      <c r="B33" s="4"/>
      <c r="C33" s="3"/>
      <c r="D33" s="4"/>
      <c r="E33" s="1"/>
      <c r="F33" s="1"/>
      <c r="G33" s="1"/>
      <c r="H33" s="1"/>
      <c r="I33" s="2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"/>
      <c r="B34" s="3"/>
      <c r="C34" s="8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>
      <c r="A35" s="7"/>
      <c r="B35" s="3"/>
      <c r="C35" s="2"/>
      <c r="D35" s="1"/>
      <c r="E35" s="1"/>
      <c r="F35" s="1"/>
      <c r="G35" s="1"/>
      <c r="H35" s="1"/>
      <c r="I35" s="1"/>
      <c r="J35" s="1"/>
      <c r="K35" s="1"/>
      <c r="L35" s="3"/>
      <c r="M35" s="3"/>
      <c r="N35" s="1"/>
      <c r="O35" s="1"/>
      <c r="P35" s="109"/>
      <c r="Q35" s="1"/>
      <c r="R35" s="1"/>
      <c r="S35" s="1"/>
      <c r="T35" s="3"/>
      <c r="U35" s="1"/>
    </row>
    <row r="36" spans="1:21" ht="18.75">
      <c r="A36" s="7"/>
      <c r="B36" s="4"/>
      <c r="C36" s="3"/>
      <c r="D36" s="3"/>
      <c r="E36" s="3"/>
      <c r="F36" s="3"/>
      <c r="G36" s="3"/>
      <c r="H36" s="3"/>
      <c r="I36" s="2"/>
      <c r="J36" s="3"/>
      <c r="K36" s="3"/>
      <c r="L36" s="3"/>
      <c r="M36" s="3"/>
      <c r="N36" s="1"/>
      <c r="O36" s="1"/>
      <c r="P36" s="1"/>
      <c r="Q36" s="2"/>
      <c r="R36" s="3"/>
      <c r="S36" s="3"/>
      <c r="T36" s="3"/>
      <c r="U36" s="1"/>
    </row>
    <row r="37" spans="1:21" ht="18.75">
      <c r="A37" s="7"/>
      <c r="B37" s="5"/>
      <c r="C37" s="3"/>
      <c r="D37" s="3"/>
      <c r="E37" s="3"/>
      <c r="F37" s="3"/>
      <c r="G37" s="3"/>
      <c r="H37" s="5"/>
      <c r="I37" s="2"/>
      <c r="J37" s="3"/>
      <c r="K37" s="3"/>
      <c r="L37" s="3"/>
      <c r="M37" s="3"/>
      <c r="N37" s="1"/>
      <c r="O37" s="1"/>
      <c r="P37" s="1"/>
      <c r="Q37" s="2"/>
      <c r="R37" s="3"/>
      <c r="S37" s="3"/>
      <c r="T37" s="3"/>
      <c r="U37" s="1"/>
    </row>
    <row r="38" spans="1:21" ht="18.75">
      <c r="A38" s="7"/>
      <c r="B38" s="5"/>
      <c r="C38" s="3"/>
      <c r="D38" s="3"/>
      <c r="E38" s="3"/>
      <c r="F38" s="3"/>
      <c r="G38" s="3"/>
      <c r="H38" s="5"/>
      <c r="I38" s="2"/>
      <c r="J38" s="3"/>
      <c r="K38" s="3"/>
      <c r="L38" s="3"/>
      <c r="M38" s="3"/>
      <c r="N38" s="1"/>
      <c r="O38" s="1"/>
      <c r="P38" s="1"/>
      <c r="Q38" s="2"/>
      <c r="R38" s="3"/>
      <c r="S38" s="3"/>
      <c r="T38" s="3"/>
      <c r="U38" s="1"/>
    </row>
    <row r="39" spans="1:21" ht="18.75">
      <c r="A39" s="3"/>
      <c r="B39" s="3"/>
      <c r="C39" s="3"/>
      <c r="D39" s="3"/>
      <c r="E39" s="3"/>
      <c r="F39" s="3"/>
      <c r="G39" s="3"/>
      <c r="H39" s="3"/>
      <c r="I39" s="2"/>
      <c r="J39" s="3"/>
      <c r="K39" s="3"/>
      <c r="L39" s="3"/>
      <c r="M39" s="3"/>
      <c r="N39" s="1"/>
      <c r="O39" s="63"/>
      <c r="P39" s="63"/>
      <c r="Q39" s="63"/>
      <c r="R39" s="63"/>
      <c r="S39" s="63"/>
      <c r="T39" s="63"/>
      <c r="U39" s="63"/>
    </row>
    <row r="40" spans="1:24" ht="91.5">
      <c r="A40" s="1"/>
      <c r="B40" s="74" t="s">
        <v>38</v>
      </c>
      <c r="C40" s="74" t="s">
        <v>39</v>
      </c>
      <c r="D40" s="19" t="s">
        <v>45</v>
      </c>
      <c r="E40" s="75" t="s">
        <v>40</v>
      </c>
      <c r="F40" s="78" t="s">
        <v>4</v>
      </c>
      <c r="G40" s="19" t="s">
        <v>46</v>
      </c>
      <c r="H40" s="76" t="s">
        <v>41</v>
      </c>
      <c r="I40" s="77" t="s">
        <v>42</v>
      </c>
      <c r="J40" s="73" t="s">
        <v>34</v>
      </c>
      <c r="K40" s="71" t="s">
        <v>35</v>
      </c>
      <c r="L40" s="72"/>
      <c r="M40" s="71" t="s">
        <v>36</v>
      </c>
      <c r="N40" s="3"/>
      <c r="O40" s="64" t="s">
        <v>37</v>
      </c>
      <c r="P40" s="125" t="s">
        <v>22</v>
      </c>
      <c r="Q40" s="125" t="s">
        <v>20</v>
      </c>
      <c r="R40" s="65" t="s">
        <v>25</v>
      </c>
      <c r="S40" s="125" t="s">
        <v>24</v>
      </c>
      <c r="T40" s="125" t="s">
        <v>20</v>
      </c>
      <c r="U40" s="65" t="s">
        <v>26</v>
      </c>
      <c r="V40" s="6"/>
      <c r="W40" s="6"/>
      <c r="X40" s="6"/>
    </row>
    <row r="41" spans="1:24" ht="18">
      <c r="A41" s="1"/>
      <c r="B41" s="3">
        <f aca="true" t="shared" si="0" ref="B41:B76">ROUND((C41-$B$6)/($B$5-$B$6),3)</f>
        <v>0.222</v>
      </c>
      <c r="C41" s="66">
        <v>8</v>
      </c>
      <c r="D41" s="17"/>
      <c r="E41" s="83">
        <f>IF(D41&gt;0,D41,($B$6+($B$10-$B$6)*($B41^$B$9)+($B$7-$B$10)*$B41))</f>
        <v>40.12326799396626</v>
      </c>
      <c r="F41" s="67">
        <f>ROUND((E41+H41)/2,1)</f>
        <v>37.3</v>
      </c>
      <c r="G41" s="17"/>
      <c r="H41" s="69">
        <f>IF(G41&gt;0,G41,($E41-($B$7-$B$8)*$B41))</f>
        <v>34.57326799396626</v>
      </c>
      <c r="I41" s="84">
        <f>($B$21*$B41+$B$22)*100/(100-$B$20)</f>
        <v>2.3908759006171048</v>
      </c>
      <c r="J41" s="86">
        <f aca="true" t="shared" si="1" ref="J41:J76">ROUNDUP(($I41/$B$23),0)</f>
        <v>1</v>
      </c>
      <c r="K41" s="84">
        <f aca="true" t="shared" si="2" ref="K41:K76">IF(($H41-$U41)&gt;$B$29,($H41-$U41),$B$29)</f>
        <v>65</v>
      </c>
      <c r="L41" s="89">
        <f aca="true" t="shared" si="3" ref="L41:L76">$K41+$I41/(0.001*$B$28*J41)</f>
        <v>87.24070605225214</v>
      </c>
      <c r="M41" s="84">
        <f aca="true" t="shared" si="4" ref="M41:M76">IF(($E41+$R41)&gt;$L41,($E41+$R41),$L41)</f>
        <v>87.24070605225214</v>
      </c>
      <c r="N41" s="118">
        <f>ROUND(M41,0)</f>
        <v>87</v>
      </c>
      <c r="O41" s="90">
        <f>((100/(100-$B$14)-1)*($B$11*$B41+$B$12))</f>
        <v>0.11684210526315778</v>
      </c>
      <c r="P41" s="93">
        <f>(($B$7-$B$15)/($B$7+$B$8-2*$B$15))</f>
        <v>0.6470588235294118</v>
      </c>
      <c r="Q41" s="93">
        <f>($O41*$P41)</f>
        <v>0.07560371517027857</v>
      </c>
      <c r="R41" s="94">
        <f>($Q41*($B$7-$B$8)/($B$11+$B$12))</f>
        <v>0.18900928792569643</v>
      </c>
      <c r="S41" s="93">
        <f aca="true" t="shared" si="5" ref="S41:S76">1-$P41</f>
        <v>0.3529411764705882</v>
      </c>
      <c r="T41" s="93">
        <f>($O41*$S41)</f>
        <v>0.04123839009287921</v>
      </c>
      <c r="U41" s="94">
        <f>($T41*($B$7-$B$8)/($B$11+$B$12))</f>
        <v>0.10309597523219802</v>
      </c>
      <c r="V41" s="6"/>
      <c r="W41" s="6"/>
      <c r="X41" s="6"/>
    </row>
    <row r="42" spans="1:24" ht="18">
      <c r="A42" s="1"/>
      <c r="B42" s="3">
        <f t="shared" si="0"/>
        <v>0.244</v>
      </c>
      <c r="C42" s="66">
        <v>7</v>
      </c>
      <c r="D42" s="17"/>
      <c r="E42" s="83">
        <f aca="true" t="shared" si="6" ref="E42:E76">IF(D42&gt;0,D42,($B$6+($B$10-$B$6)*($B42^$B$9)+($B$7-$B$10)*$B42))</f>
        <v>41.917555426403624</v>
      </c>
      <c r="F42" s="68">
        <f aca="true" t="shared" si="7" ref="F42:F76">ROUND((E42+H42)/2,1)</f>
        <v>38.9</v>
      </c>
      <c r="G42" s="17"/>
      <c r="H42" s="69">
        <f aca="true" t="shared" si="8" ref="H42:H76">IF(G42&gt;0,G42,($E42-($B$7-$B$8)*$B42))</f>
        <v>35.81755542640362</v>
      </c>
      <c r="I42" s="69">
        <f aca="true" t="shared" si="9" ref="I42:I76">($B$21*$B42+$B$22)*100/(100-$B$20)</f>
        <v>2.627809548426007</v>
      </c>
      <c r="J42" s="87">
        <f t="shared" si="1"/>
        <v>1</v>
      </c>
      <c r="K42" s="69">
        <f t="shared" si="2"/>
        <v>65</v>
      </c>
      <c r="L42" s="89">
        <f t="shared" si="3"/>
        <v>89.44473998535821</v>
      </c>
      <c r="M42" s="69">
        <f t="shared" si="4"/>
        <v>89.44473998535821</v>
      </c>
      <c r="N42" s="118">
        <f aca="true" t="shared" si="10" ref="N42:N76">ROUND(M42,0)</f>
        <v>89</v>
      </c>
      <c r="O42" s="91">
        <f aca="true" t="shared" si="11" ref="O42:O76">((100/(100-$B$14)-1)*($B$11*$B42+$B$12))</f>
        <v>0.1284210526315788</v>
      </c>
      <c r="P42" s="95">
        <f aca="true" t="shared" si="12" ref="P42:P76">(($B$7-$B$15)/($B$7+$B$8-2*$B$15))</f>
        <v>0.6470588235294118</v>
      </c>
      <c r="Q42" s="95">
        <f aca="true" t="shared" si="13" ref="Q42:Q76">($O42*$P42)</f>
        <v>0.08309597523219805</v>
      </c>
      <c r="R42" s="96">
        <f aca="true" t="shared" si="14" ref="R42:R76">($Q42*($B$7-$B$8)/($B$11+$B$12))</f>
        <v>0.20773993808049512</v>
      </c>
      <c r="S42" s="95">
        <f t="shared" si="5"/>
        <v>0.3529411764705882</v>
      </c>
      <c r="T42" s="95">
        <f aca="true" t="shared" si="15" ref="T42:T76">($O42*$S42)</f>
        <v>0.04532507739938075</v>
      </c>
      <c r="U42" s="96">
        <f aca="true" t="shared" si="16" ref="U42:U76">($T42*($B$7-$B$8)/($B$11+$B$12))</f>
        <v>0.11331269349845188</v>
      </c>
      <c r="V42" s="6"/>
      <c r="W42" s="6"/>
      <c r="X42" s="6"/>
    </row>
    <row r="43" spans="1:24" ht="18">
      <c r="A43" s="1"/>
      <c r="B43" s="3">
        <f t="shared" si="0"/>
        <v>0.267</v>
      </c>
      <c r="C43" s="66">
        <v>6</v>
      </c>
      <c r="D43" s="17"/>
      <c r="E43" s="83">
        <f t="shared" si="6"/>
        <v>43.764373000566025</v>
      </c>
      <c r="F43" s="68">
        <f t="shared" si="7"/>
        <v>40.4</v>
      </c>
      <c r="G43" s="17"/>
      <c r="H43" s="69">
        <f t="shared" si="8"/>
        <v>37.08937300056603</v>
      </c>
      <c r="I43" s="69">
        <f t="shared" si="9"/>
        <v>2.8755129074989503</v>
      </c>
      <c r="J43" s="87">
        <f t="shared" si="1"/>
        <v>1</v>
      </c>
      <c r="K43" s="69">
        <f t="shared" si="2"/>
        <v>65</v>
      </c>
      <c r="L43" s="89">
        <f t="shared" si="3"/>
        <v>91.74895727906001</v>
      </c>
      <c r="M43" s="69">
        <f t="shared" si="4"/>
        <v>91.74895727906001</v>
      </c>
      <c r="N43" s="118">
        <f t="shared" si="10"/>
        <v>92</v>
      </c>
      <c r="O43" s="91">
        <f t="shared" si="11"/>
        <v>0.14052631578947353</v>
      </c>
      <c r="P43" s="95">
        <f t="shared" si="12"/>
        <v>0.6470588235294118</v>
      </c>
      <c r="Q43" s="95">
        <f t="shared" si="13"/>
        <v>0.09092879256965934</v>
      </c>
      <c r="R43" s="96">
        <f t="shared" si="14"/>
        <v>0.22732198142414836</v>
      </c>
      <c r="S43" s="95">
        <f t="shared" si="5"/>
        <v>0.3529411764705882</v>
      </c>
      <c r="T43" s="95">
        <f t="shared" si="15"/>
        <v>0.04959752321981418</v>
      </c>
      <c r="U43" s="96">
        <f t="shared" si="16"/>
        <v>0.12399380804953544</v>
      </c>
      <c r="V43" s="6"/>
      <c r="W43" s="6"/>
      <c r="X43" s="6"/>
    </row>
    <row r="44" spans="1:21" ht="18">
      <c r="A44" s="1"/>
      <c r="B44" s="3">
        <f t="shared" si="0"/>
        <v>0.289</v>
      </c>
      <c r="C44" s="66">
        <v>5</v>
      </c>
      <c r="D44" s="17"/>
      <c r="E44" s="83">
        <f t="shared" si="6"/>
        <v>45.5059019337579</v>
      </c>
      <c r="F44" s="68">
        <f t="shared" si="7"/>
        <v>41.9</v>
      </c>
      <c r="G44" s="17"/>
      <c r="H44" s="69">
        <f t="shared" si="8"/>
        <v>38.280901933757896</v>
      </c>
      <c r="I44" s="69">
        <f t="shared" si="9"/>
        <v>3.1124465553078524</v>
      </c>
      <c r="J44" s="87">
        <f t="shared" si="1"/>
        <v>1</v>
      </c>
      <c r="K44" s="69">
        <f t="shared" si="2"/>
        <v>65</v>
      </c>
      <c r="L44" s="89">
        <f t="shared" si="3"/>
        <v>93.95299121216607</v>
      </c>
      <c r="M44" s="69">
        <f t="shared" si="4"/>
        <v>93.95299121216607</v>
      </c>
      <c r="N44" s="118">
        <f t="shared" si="10"/>
        <v>94</v>
      </c>
      <c r="O44" s="91">
        <f t="shared" si="11"/>
        <v>0.15210526315789455</v>
      </c>
      <c r="P44" s="95">
        <f t="shared" si="12"/>
        <v>0.6470588235294118</v>
      </c>
      <c r="Q44" s="95">
        <f t="shared" si="13"/>
        <v>0.09842105263157883</v>
      </c>
      <c r="R44" s="96">
        <f t="shared" si="14"/>
        <v>0.24605263157894708</v>
      </c>
      <c r="S44" s="95">
        <f t="shared" si="5"/>
        <v>0.3529411764705882</v>
      </c>
      <c r="T44" s="95">
        <f t="shared" si="15"/>
        <v>0.053684210526315716</v>
      </c>
      <c r="U44" s="96">
        <f t="shared" si="16"/>
        <v>0.13421052631578928</v>
      </c>
    </row>
    <row r="45" spans="1:21" ht="18">
      <c r="A45" s="1"/>
      <c r="B45" s="3">
        <f t="shared" si="0"/>
        <v>0.311</v>
      </c>
      <c r="C45" s="66">
        <v>4</v>
      </c>
      <c r="D45" s="17"/>
      <c r="E45" s="83">
        <f t="shared" si="6"/>
        <v>47.22524877952466</v>
      </c>
      <c r="F45" s="68">
        <f t="shared" si="7"/>
        <v>43.3</v>
      </c>
      <c r="G45" s="17"/>
      <c r="H45" s="69">
        <f t="shared" si="8"/>
        <v>39.450248779524664</v>
      </c>
      <c r="I45" s="69">
        <f t="shared" si="9"/>
        <v>3.349380203116755</v>
      </c>
      <c r="J45" s="87">
        <f t="shared" si="1"/>
        <v>1</v>
      </c>
      <c r="K45" s="69">
        <f t="shared" si="2"/>
        <v>65</v>
      </c>
      <c r="L45" s="89">
        <f t="shared" si="3"/>
        <v>96.15702514527214</v>
      </c>
      <c r="M45" s="69">
        <f t="shared" si="4"/>
        <v>96.15702514527214</v>
      </c>
      <c r="N45" s="118">
        <f t="shared" si="10"/>
        <v>96</v>
      </c>
      <c r="O45" s="91">
        <f t="shared" si="11"/>
        <v>0.1636842105263156</v>
      </c>
      <c r="P45" s="95">
        <f t="shared" si="12"/>
        <v>0.6470588235294118</v>
      </c>
      <c r="Q45" s="95">
        <f t="shared" si="13"/>
        <v>0.10591331269349834</v>
      </c>
      <c r="R45" s="96">
        <f t="shared" si="14"/>
        <v>0.2647832817337458</v>
      </c>
      <c r="S45" s="95">
        <f t="shared" si="5"/>
        <v>0.3529411764705882</v>
      </c>
      <c r="T45" s="95">
        <f t="shared" si="15"/>
        <v>0.05777089783281727</v>
      </c>
      <c r="U45" s="96">
        <f t="shared" si="16"/>
        <v>0.14442724458204317</v>
      </c>
    </row>
    <row r="46" spans="1:21" ht="18">
      <c r="A46" s="1"/>
      <c r="B46" s="3">
        <f t="shared" si="0"/>
        <v>0.333</v>
      </c>
      <c r="C46" s="66">
        <v>3</v>
      </c>
      <c r="D46" s="17"/>
      <c r="E46" s="83">
        <f t="shared" si="6"/>
        <v>48.92428648605748</v>
      </c>
      <c r="F46" s="68">
        <f t="shared" si="7"/>
        <v>44.8</v>
      </c>
      <c r="G46" s="17"/>
      <c r="H46" s="69">
        <f t="shared" si="8"/>
        <v>40.59928648605748</v>
      </c>
      <c r="I46" s="69">
        <f t="shared" si="9"/>
        <v>3.586313850925657</v>
      </c>
      <c r="J46" s="87">
        <f t="shared" si="1"/>
        <v>1</v>
      </c>
      <c r="K46" s="69">
        <f t="shared" si="2"/>
        <v>65</v>
      </c>
      <c r="L46" s="89">
        <f t="shared" si="3"/>
        <v>98.3610590783782</v>
      </c>
      <c r="M46" s="69">
        <f t="shared" si="4"/>
        <v>98.3610590783782</v>
      </c>
      <c r="N46" s="118">
        <f t="shared" si="10"/>
        <v>98</v>
      </c>
      <c r="O46" s="91">
        <f t="shared" si="11"/>
        <v>0.17526315789473665</v>
      </c>
      <c r="P46" s="95">
        <f t="shared" si="12"/>
        <v>0.6470588235294118</v>
      </c>
      <c r="Q46" s="95">
        <f t="shared" si="13"/>
        <v>0.11340557275541784</v>
      </c>
      <c r="R46" s="96">
        <f t="shared" si="14"/>
        <v>0.28351393188854457</v>
      </c>
      <c r="S46" s="95">
        <f t="shared" si="5"/>
        <v>0.3529411764705882</v>
      </c>
      <c r="T46" s="95">
        <f t="shared" si="15"/>
        <v>0.06185758513931881</v>
      </c>
      <c r="U46" s="96">
        <f t="shared" si="16"/>
        <v>0.154643962848297</v>
      </c>
    </row>
    <row r="47" spans="1:21" ht="18">
      <c r="A47" s="1"/>
      <c r="B47" s="3">
        <f t="shared" si="0"/>
        <v>0.356</v>
      </c>
      <c r="C47" s="66">
        <v>2</v>
      </c>
      <c r="D47" s="17"/>
      <c r="E47" s="83">
        <f t="shared" si="6"/>
        <v>50.68057428964161</v>
      </c>
      <c r="F47" s="68">
        <f t="shared" si="7"/>
        <v>46.2</v>
      </c>
      <c r="G47" s="17"/>
      <c r="H47" s="69">
        <f t="shared" si="8"/>
        <v>41.78057428964161</v>
      </c>
      <c r="I47" s="69">
        <f t="shared" si="9"/>
        <v>3.8340172099986005</v>
      </c>
      <c r="J47" s="87">
        <f t="shared" si="1"/>
        <v>1</v>
      </c>
      <c r="K47" s="69">
        <f t="shared" si="2"/>
        <v>65</v>
      </c>
      <c r="L47" s="89">
        <f t="shared" si="3"/>
        <v>100.66527637208</v>
      </c>
      <c r="M47" s="69">
        <f t="shared" si="4"/>
        <v>100.66527637208</v>
      </c>
      <c r="N47" s="118">
        <f t="shared" si="10"/>
        <v>101</v>
      </c>
      <c r="O47" s="91">
        <f t="shared" si="11"/>
        <v>0.18736842105263135</v>
      </c>
      <c r="P47" s="95">
        <f t="shared" si="12"/>
        <v>0.6470588235294118</v>
      </c>
      <c r="Q47" s="95">
        <f t="shared" si="13"/>
        <v>0.12123839009287911</v>
      </c>
      <c r="R47" s="96">
        <f t="shared" si="14"/>
        <v>0.3030959752321978</v>
      </c>
      <c r="S47" s="95">
        <f t="shared" si="5"/>
        <v>0.3529411764705882</v>
      </c>
      <c r="T47" s="95">
        <f t="shared" si="15"/>
        <v>0.06613003095975224</v>
      </c>
      <c r="U47" s="96">
        <f t="shared" si="16"/>
        <v>0.1653250773993806</v>
      </c>
    </row>
    <row r="48" spans="1:21" ht="18">
      <c r="A48" s="1"/>
      <c r="B48" s="3">
        <f t="shared" si="0"/>
        <v>0.378</v>
      </c>
      <c r="C48" s="66">
        <v>1</v>
      </c>
      <c r="D48" s="17"/>
      <c r="E48" s="83">
        <f t="shared" si="6"/>
        <v>52.34282443971797</v>
      </c>
      <c r="F48" s="68">
        <f t="shared" si="7"/>
        <v>47.6</v>
      </c>
      <c r="G48" s="17"/>
      <c r="H48" s="69">
        <f t="shared" si="8"/>
        <v>42.89282443971797</v>
      </c>
      <c r="I48" s="69">
        <f t="shared" si="9"/>
        <v>4.070950857807503</v>
      </c>
      <c r="J48" s="87">
        <f t="shared" si="1"/>
        <v>1</v>
      </c>
      <c r="K48" s="69">
        <f t="shared" si="2"/>
        <v>65</v>
      </c>
      <c r="L48" s="89">
        <f t="shared" si="3"/>
        <v>102.86931030518608</v>
      </c>
      <c r="M48" s="69">
        <f t="shared" si="4"/>
        <v>102.86931030518608</v>
      </c>
      <c r="N48" s="118">
        <f t="shared" si="10"/>
        <v>103</v>
      </c>
      <c r="O48" s="91">
        <f t="shared" si="11"/>
        <v>0.19894736842105243</v>
      </c>
      <c r="P48" s="95">
        <f t="shared" si="12"/>
        <v>0.6470588235294118</v>
      </c>
      <c r="Q48" s="95">
        <f t="shared" si="13"/>
        <v>0.12873065015479865</v>
      </c>
      <c r="R48" s="96">
        <f t="shared" si="14"/>
        <v>0.32182662538699663</v>
      </c>
      <c r="S48" s="95">
        <f t="shared" si="5"/>
        <v>0.3529411764705882</v>
      </c>
      <c r="T48" s="95">
        <f t="shared" si="15"/>
        <v>0.0702167182662538</v>
      </c>
      <c r="U48" s="96">
        <f t="shared" si="16"/>
        <v>0.1755417956656345</v>
      </c>
    </row>
    <row r="49" spans="1:21" ht="18">
      <c r="A49" s="1"/>
      <c r="B49" s="3">
        <f t="shared" si="0"/>
        <v>0.4</v>
      </c>
      <c r="C49" s="66">
        <v>0</v>
      </c>
      <c r="D49" s="17"/>
      <c r="E49" s="83">
        <f t="shared" si="6"/>
        <v>53.98901039672093</v>
      </c>
      <c r="F49" s="68">
        <f t="shared" si="7"/>
        <v>49</v>
      </c>
      <c r="G49" s="17"/>
      <c r="H49" s="69">
        <f t="shared" si="8"/>
        <v>43.98901039672093</v>
      </c>
      <c r="I49" s="69">
        <f t="shared" si="9"/>
        <v>4.307884505616405</v>
      </c>
      <c r="J49" s="87">
        <f t="shared" si="1"/>
        <v>2</v>
      </c>
      <c r="K49" s="69">
        <f t="shared" si="2"/>
        <v>65</v>
      </c>
      <c r="L49" s="89">
        <f t="shared" si="3"/>
        <v>85.03667211914608</v>
      </c>
      <c r="M49" s="69">
        <f t="shared" si="4"/>
        <v>85.03667211914608</v>
      </c>
      <c r="N49" s="118">
        <f t="shared" si="10"/>
        <v>85</v>
      </c>
      <c r="O49" s="91">
        <f t="shared" si="11"/>
        <v>0.21052631578947345</v>
      </c>
      <c r="P49" s="95">
        <f t="shared" si="12"/>
        <v>0.6470588235294118</v>
      </c>
      <c r="Q49" s="95">
        <f t="shared" si="13"/>
        <v>0.13622291021671812</v>
      </c>
      <c r="R49" s="96">
        <f t="shared" si="14"/>
        <v>0.34055727554179527</v>
      </c>
      <c r="S49" s="95">
        <f t="shared" si="5"/>
        <v>0.3529411764705882</v>
      </c>
      <c r="T49" s="95">
        <f t="shared" si="15"/>
        <v>0.07430340557275533</v>
      </c>
      <c r="U49" s="96">
        <f t="shared" si="16"/>
        <v>0.18575851393188833</v>
      </c>
    </row>
    <row r="50" spans="1:21" ht="18">
      <c r="A50" s="1"/>
      <c r="B50" s="3">
        <f t="shared" si="0"/>
        <v>0.422</v>
      </c>
      <c r="C50" s="66">
        <v>-1</v>
      </c>
      <c r="D50" s="17"/>
      <c r="E50" s="83">
        <f t="shared" si="6"/>
        <v>55.620187677518935</v>
      </c>
      <c r="F50" s="68">
        <f t="shared" si="7"/>
        <v>50.3</v>
      </c>
      <c r="G50" s="17"/>
      <c r="H50" s="69">
        <f t="shared" si="8"/>
        <v>45.07018767751894</v>
      </c>
      <c r="I50" s="69">
        <f t="shared" si="9"/>
        <v>4.544818153425307</v>
      </c>
      <c r="J50" s="87">
        <f t="shared" si="1"/>
        <v>2</v>
      </c>
      <c r="K50" s="69">
        <f t="shared" si="2"/>
        <v>65</v>
      </c>
      <c r="L50" s="89">
        <f t="shared" si="3"/>
        <v>86.1386890856991</v>
      </c>
      <c r="M50" s="69">
        <f t="shared" si="4"/>
        <v>86.1386890856991</v>
      </c>
      <c r="N50" s="118">
        <f t="shared" si="10"/>
        <v>86</v>
      </c>
      <c r="O50" s="91">
        <f t="shared" si="11"/>
        <v>0.22210526315789447</v>
      </c>
      <c r="P50" s="95">
        <f t="shared" si="12"/>
        <v>0.6470588235294118</v>
      </c>
      <c r="Q50" s="95">
        <f t="shared" si="13"/>
        <v>0.14371517027863762</v>
      </c>
      <c r="R50" s="96">
        <f t="shared" si="14"/>
        <v>0.35928792569659407</v>
      </c>
      <c r="S50" s="95">
        <f t="shared" si="5"/>
        <v>0.3529411764705882</v>
      </c>
      <c r="T50" s="95">
        <f t="shared" si="15"/>
        <v>0.07839009287925687</v>
      </c>
      <c r="U50" s="96">
        <f t="shared" si="16"/>
        <v>0.19597523219814217</v>
      </c>
    </row>
    <row r="51" spans="1:21" ht="18">
      <c r="A51" s="1"/>
      <c r="B51" s="3">
        <f t="shared" si="0"/>
        <v>0.444</v>
      </c>
      <c r="C51" s="66">
        <v>-2</v>
      </c>
      <c r="D51" s="17"/>
      <c r="E51" s="83">
        <f t="shared" si="6"/>
        <v>57.237291201903396</v>
      </c>
      <c r="F51" s="68">
        <f t="shared" si="7"/>
        <v>51.7</v>
      </c>
      <c r="G51" s="17"/>
      <c r="H51" s="69">
        <f t="shared" si="8"/>
        <v>46.137291201903395</v>
      </c>
      <c r="I51" s="69">
        <f t="shared" si="9"/>
        <v>4.7817518012342095</v>
      </c>
      <c r="J51" s="87">
        <f t="shared" si="1"/>
        <v>2</v>
      </c>
      <c r="K51" s="69">
        <f t="shared" si="2"/>
        <v>65</v>
      </c>
      <c r="L51" s="89">
        <f t="shared" si="3"/>
        <v>87.24070605225214</v>
      </c>
      <c r="M51" s="69">
        <f t="shared" si="4"/>
        <v>87.24070605225214</v>
      </c>
      <c r="N51" s="118">
        <f t="shared" si="10"/>
        <v>87</v>
      </c>
      <c r="O51" s="91">
        <f t="shared" si="11"/>
        <v>0.23368421052631555</v>
      </c>
      <c r="P51" s="95">
        <f t="shared" si="12"/>
        <v>0.6470588235294118</v>
      </c>
      <c r="Q51" s="95">
        <f t="shared" si="13"/>
        <v>0.15120743034055714</v>
      </c>
      <c r="R51" s="96">
        <f t="shared" si="14"/>
        <v>0.37801857585139287</v>
      </c>
      <c r="S51" s="95">
        <f t="shared" si="5"/>
        <v>0.3529411764705882</v>
      </c>
      <c r="T51" s="95">
        <f t="shared" si="15"/>
        <v>0.08247678018575842</v>
      </c>
      <c r="U51" s="96">
        <f t="shared" si="16"/>
        <v>0.20619195046439603</v>
      </c>
    </row>
    <row r="52" spans="1:21" ht="18">
      <c r="A52" s="1"/>
      <c r="B52" s="3">
        <f t="shared" si="0"/>
        <v>0.467</v>
      </c>
      <c r="C52" s="66">
        <v>-3</v>
      </c>
      <c r="D52" s="17"/>
      <c r="E52" s="83">
        <f t="shared" si="6"/>
        <v>58.91375503270144</v>
      </c>
      <c r="F52" s="68">
        <f t="shared" si="7"/>
        <v>53.1</v>
      </c>
      <c r="G52" s="17"/>
      <c r="H52" s="69">
        <f t="shared" si="8"/>
        <v>47.238755032701434</v>
      </c>
      <c r="I52" s="69">
        <f t="shared" si="9"/>
        <v>5.029455160307153</v>
      </c>
      <c r="J52" s="87">
        <f t="shared" si="1"/>
        <v>2</v>
      </c>
      <c r="K52" s="69">
        <f t="shared" si="2"/>
        <v>65</v>
      </c>
      <c r="L52" s="89">
        <f t="shared" si="3"/>
        <v>88.39281469910304</v>
      </c>
      <c r="M52" s="69">
        <f t="shared" si="4"/>
        <v>88.39281469910304</v>
      </c>
      <c r="N52" s="118">
        <f t="shared" si="10"/>
        <v>88</v>
      </c>
      <c r="O52" s="91">
        <f t="shared" si="11"/>
        <v>0.24578947368421025</v>
      </c>
      <c r="P52" s="95">
        <f t="shared" si="12"/>
        <v>0.6470588235294118</v>
      </c>
      <c r="Q52" s="95">
        <f t="shared" si="13"/>
        <v>0.15904024767801841</v>
      </c>
      <c r="R52" s="96">
        <f t="shared" si="14"/>
        <v>0.397600619195046</v>
      </c>
      <c r="S52" s="95">
        <f t="shared" si="5"/>
        <v>0.3529411764705882</v>
      </c>
      <c r="T52" s="95">
        <f t="shared" si="15"/>
        <v>0.08674922600619185</v>
      </c>
      <c r="U52" s="96">
        <f t="shared" si="16"/>
        <v>0.21687306501547962</v>
      </c>
    </row>
    <row r="53" spans="1:21" ht="18">
      <c r="A53" s="1"/>
      <c r="B53" s="3">
        <f t="shared" si="0"/>
        <v>0.489</v>
      </c>
      <c r="C53" s="66">
        <v>-4</v>
      </c>
      <c r="D53" s="17"/>
      <c r="E53" s="83">
        <f t="shared" si="6"/>
        <v>60.50457358208587</v>
      </c>
      <c r="F53" s="68">
        <f t="shared" si="7"/>
        <v>54.4</v>
      </c>
      <c r="G53" s="17"/>
      <c r="H53" s="69">
        <f t="shared" si="8"/>
        <v>48.27957358208587</v>
      </c>
      <c r="I53" s="69">
        <f t="shared" si="9"/>
        <v>5.266388808116056</v>
      </c>
      <c r="J53" s="87">
        <f t="shared" si="1"/>
        <v>2</v>
      </c>
      <c r="K53" s="69">
        <f t="shared" si="2"/>
        <v>65</v>
      </c>
      <c r="L53" s="89">
        <f t="shared" si="3"/>
        <v>89.49483166565608</v>
      </c>
      <c r="M53" s="69">
        <f t="shared" si="4"/>
        <v>89.49483166565608</v>
      </c>
      <c r="N53" s="118">
        <f t="shared" si="10"/>
        <v>89</v>
      </c>
      <c r="O53" s="91">
        <f t="shared" si="11"/>
        <v>0.2573684210526313</v>
      </c>
      <c r="P53" s="95">
        <f t="shared" si="12"/>
        <v>0.6470588235294118</v>
      </c>
      <c r="Q53" s="95">
        <f t="shared" si="13"/>
        <v>0.1665325077399379</v>
      </c>
      <c r="R53" s="96">
        <f t="shared" si="14"/>
        <v>0.41633126934984477</v>
      </c>
      <c r="S53" s="95">
        <f t="shared" si="5"/>
        <v>0.3529411764705882</v>
      </c>
      <c r="T53" s="95">
        <f t="shared" si="15"/>
        <v>0.09083591331269339</v>
      </c>
      <c r="U53" s="96">
        <f t="shared" si="16"/>
        <v>0.2270897832817335</v>
      </c>
    </row>
    <row r="54" spans="1:21" ht="18">
      <c r="A54" s="1"/>
      <c r="B54" s="3">
        <f t="shared" si="0"/>
        <v>0.511</v>
      </c>
      <c r="C54" s="66">
        <v>-5</v>
      </c>
      <c r="D54" s="17"/>
      <c r="E54" s="83">
        <f t="shared" si="6"/>
        <v>62.08360120446655</v>
      </c>
      <c r="F54" s="68">
        <f t="shared" si="7"/>
        <v>55.7</v>
      </c>
      <c r="G54" s="17"/>
      <c r="H54" s="69">
        <f t="shared" si="8"/>
        <v>49.30860120446655</v>
      </c>
      <c r="I54" s="69">
        <f t="shared" si="9"/>
        <v>5.503322455924957</v>
      </c>
      <c r="J54" s="87">
        <f t="shared" si="1"/>
        <v>2</v>
      </c>
      <c r="K54" s="69">
        <f t="shared" si="2"/>
        <v>65</v>
      </c>
      <c r="L54" s="89">
        <f t="shared" si="3"/>
        <v>90.5968486322091</v>
      </c>
      <c r="M54" s="69">
        <f t="shared" si="4"/>
        <v>90.5968486322091</v>
      </c>
      <c r="N54" s="118">
        <f t="shared" si="10"/>
        <v>91</v>
      </c>
      <c r="O54" s="91">
        <f t="shared" si="11"/>
        <v>0.2689473684210523</v>
      </c>
      <c r="P54" s="95">
        <f t="shared" si="12"/>
        <v>0.6470588235294118</v>
      </c>
      <c r="Q54" s="95">
        <f t="shared" si="13"/>
        <v>0.17402476780185738</v>
      </c>
      <c r="R54" s="96">
        <f t="shared" si="14"/>
        <v>0.4350619195046434</v>
      </c>
      <c r="S54" s="95">
        <f t="shared" si="5"/>
        <v>0.3529411764705882</v>
      </c>
      <c r="T54" s="95">
        <f t="shared" si="15"/>
        <v>0.09492260061919493</v>
      </c>
      <c r="U54" s="96">
        <f t="shared" si="16"/>
        <v>0.23730650154798733</v>
      </c>
    </row>
    <row r="55" spans="1:21" ht="18">
      <c r="A55" s="1"/>
      <c r="B55" s="3">
        <f t="shared" si="0"/>
        <v>0.533</v>
      </c>
      <c r="C55" s="66">
        <v>-6</v>
      </c>
      <c r="D55" s="17"/>
      <c r="E55" s="83">
        <f t="shared" si="6"/>
        <v>63.65144482612192</v>
      </c>
      <c r="F55" s="68">
        <f t="shared" si="7"/>
        <v>57</v>
      </c>
      <c r="G55" s="17"/>
      <c r="H55" s="69">
        <f t="shared" si="8"/>
        <v>50.326444826121914</v>
      </c>
      <c r="I55" s="69">
        <f t="shared" si="9"/>
        <v>5.740256103733861</v>
      </c>
      <c r="J55" s="87">
        <f t="shared" si="1"/>
        <v>2</v>
      </c>
      <c r="K55" s="69">
        <f t="shared" si="2"/>
        <v>65</v>
      </c>
      <c r="L55" s="89">
        <f t="shared" si="3"/>
        <v>91.69886559876214</v>
      </c>
      <c r="M55" s="69">
        <f t="shared" si="4"/>
        <v>91.69886559876214</v>
      </c>
      <c r="N55" s="118">
        <f t="shared" si="10"/>
        <v>92</v>
      </c>
      <c r="O55" s="91">
        <f t="shared" si="11"/>
        <v>0.2805263157894734</v>
      </c>
      <c r="P55" s="95">
        <f t="shared" si="12"/>
        <v>0.6470588235294118</v>
      </c>
      <c r="Q55" s="95">
        <f t="shared" si="13"/>
        <v>0.1815170278637769</v>
      </c>
      <c r="R55" s="96">
        <f t="shared" si="14"/>
        <v>0.45379256965944226</v>
      </c>
      <c r="S55" s="95">
        <f t="shared" si="5"/>
        <v>0.3529411764705882</v>
      </c>
      <c r="T55" s="95">
        <f t="shared" si="15"/>
        <v>0.09900928792569648</v>
      </c>
      <c r="U55" s="96">
        <f t="shared" si="16"/>
        <v>0.2475232198142412</v>
      </c>
    </row>
    <row r="56" spans="1:21" ht="18">
      <c r="A56" s="1"/>
      <c r="B56" s="3">
        <f t="shared" si="0"/>
        <v>0.556</v>
      </c>
      <c r="C56" s="66">
        <v>-7</v>
      </c>
      <c r="D56" s="17"/>
      <c r="E56" s="83">
        <f t="shared" si="6"/>
        <v>65.27919450224563</v>
      </c>
      <c r="F56" s="68">
        <f t="shared" si="7"/>
        <v>58.3</v>
      </c>
      <c r="G56" s="17"/>
      <c r="H56" s="69">
        <f t="shared" si="8"/>
        <v>51.379194502245625</v>
      </c>
      <c r="I56" s="69">
        <f t="shared" si="9"/>
        <v>5.987959462806804</v>
      </c>
      <c r="J56" s="87">
        <f t="shared" si="1"/>
        <v>2</v>
      </c>
      <c r="K56" s="69">
        <f t="shared" si="2"/>
        <v>65</v>
      </c>
      <c r="L56" s="89">
        <f t="shared" si="3"/>
        <v>92.85097424561305</v>
      </c>
      <c r="M56" s="69">
        <f t="shared" si="4"/>
        <v>92.85097424561305</v>
      </c>
      <c r="N56" s="118">
        <f t="shared" si="10"/>
        <v>93</v>
      </c>
      <c r="O56" s="91">
        <f t="shared" si="11"/>
        <v>0.29263157894736813</v>
      </c>
      <c r="P56" s="95">
        <f t="shared" si="12"/>
        <v>0.6470588235294118</v>
      </c>
      <c r="Q56" s="95">
        <f t="shared" si="13"/>
        <v>0.1893498452012382</v>
      </c>
      <c r="R56" s="96">
        <f t="shared" si="14"/>
        <v>0.47337461300309547</v>
      </c>
      <c r="S56" s="95">
        <f t="shared" si="5"/>
        <v>0.3529411764705882</v>
      </c>
      <c r="T56" s="95">
        <f t="shared" si="15"/>
        <v>0.10328173374612992</v>
      </c>
      <c r="U56" s="96">
        <f t="shared" si="16"/>
        <v>0.2582043343653248</v>
      </c>
    </row>
    <row r="57" spans="1:21" ht="18">
      <c r="A57" s="1"/>
      <c r="B57" s="3">
        <f t="shared" si="0"/>
        <v>0.578</v>
      </c>
      <c r="C57" s="66">
        <v>-8</v>
      </c>
      <c r="D57" s="17"/>
      <c r="E57" s="83">
        <f t="shared" si="6"/>
        <v>66.82582902498727</v>
      </c>
      <c r="F57" s="68">
        <f t="shared" si="7"/>
        <v>59.6</v>
      </c>
      <c r="G57" s="17"/>
      <c r="H57" s="69">
        <f t="shared" si="8"/>
        <v>52.37582902498727</v>
      </c>
      <c r="I57" s="69">
        <f t="shared" si="9"/>
        <v>6.224893110615705</v>
      </c>
      <c r="J57" s="87">
        <f t="shared" si="1"/>
        <v>2</v>
      </c>
      <c r="K57" s="69">
        <f t="shared" si="2"/>
        <v>65</v>
      </c>
      <c r="L57" s="89">
        <f t="shared" si="3"/>
        <v>93.95299121216607</v>
      </c>
      <c r="M57" s="69">
        <f t="shared" si="4"/>
        <v>93.95299121216607</v>
      </c>
      <c r="N57" s="118">
        <f t="shared" si="10"/>
        <v>94</v>
      </c>
      <c r="O57" s="91">
        <f t="shared" si="11"/>
        <v>0.3042105263157891</v>
      </c>
      <c r="P57" s="95">
        <f t="shared" si="12"/>
        <v>0.6470588235294118</v>
      </c>
      <c r="Q57" s="95">
        <f t="shared" si="13"/>
        <v>0.19684210526315765</v>
      </c>
      <c r="R57" s="96">
        <f t="shared" si="14"/>
        <v>0.49210526315789416</v>
      </c>
      <c r="S57" s="95">
        <f t="shared" si="5"/>
        <v>0.3529411764705882</v>
      </c>
      <c r="T57" s="95">
        <f t="shared" si="15"/>
        <v>0.10736842105263143</v>
      </c>
      <c r="U57" s="96">
        <f t="shared" si="16"/>
        <v>0.26842105263157856</v>
      </c>
    </row>
    <row r="58" spans="1:21" ht="18">
      <c r="A58" s="1"/>
      <c r="B58" s="3">
        <f t="shared" si="0"/>
        <v>0.6</v>
      </c>
      <c r="C58" s="66">
        <v>-9</v>
      </c>
      <c r="D58" s="17"/>
      <c r="E58" s="83">
        <f t="shared" si="6"/>
        <v>68.36281748370882</v>
      </c>
      <c r="F58" s="68">
        <f t="shared" si="7"/>
        <v>60.9</v>
      </c>
      <c r="G58" s="17"/>
      <c r="H58" s="69">
        <f t="shared" si="8"/>
        <v>53.362817483708824</v>
      </c>
      <c r="I58" s="69">
        <f t="shared" si="9"/>
        <v>6.461826758424607</v>
      </c>
      <c r="J58" s="87">
        <f t="shared" si="1"/>
        <v>2</v>
      </c>
      <c r="K58" s="69">
        <f t="shared" si="2"/>
        <v>65</v>
      </c>
      <c r="L58" s="89">
        <f t="shared" si="3"/>
        <v>95.0550081787191</v>
      </c>
      <c r="M58" s="69">
        <f t="shared" si="4"/>
        <v>95.0550081787191</v>
      </c>
      <c r="N58" s="118">
        <f t="shared" si="10"/>
        <v>95</v>
      </c>
      <c r="O58" s="91">
        <f t="shared" si="11"/>
        <v>0.3157894736842102</v>
      </c>
      <c r="P58" s="95">
        <f t="shared" si="12"/>
        <v>0.6470588235294118</v>
      </c>
      <c r="Q58" s="95">
        <f t="shared" si="13"/>
        <v>0.20433436532507718</v>
      </c>
      <c r="R58" s="96">
        <f t="shared" si="14"/>
        <v>0.510835913312693</v>
      </c>
      <c r="S58" s="95">
        <f t="shared" si="5"/>
        <v>0.3529411764705882</v>
      </c>
      <c r="T58" s="95">
        <f t="shared" si="15"/>
        <v>0.111455108359133</v>
      </c>
      <c r="U58" s="96">
        <f t="shared" si="16"/>
        <v>0.2786377708978325</v>
      </c>
    </row>
    <row r="59" spans="1:21" ht="18">
      <c r="A59" s="1"/>
      <c r="B59" s="3">
        <f t="shared" si="0"/>
        <v>0.622</v>
      </c>
      <c r="C59" s="66">
        <v>-10</v>
      </c>
      <c r="D59" s="17"/>
      <c r="E59" s="83">
        <f t="shared" si="6"/>
        <v>69.89058294534176</v>
      </c>
      <c r="F59" s="68">
        <f t="shared" si="7"/>
        <v>62.1</v>
      </c>
      <c r="G59" s="17"/>
      <c r="H59" s="69">
        <f t="shared" si="8"/>
        <v>54.340582945341765</v>
      </c>
      <c r="I59" s="69">
        <f t="shared" si="9"/>
        <v>6.69876040623351</v>
      </c>
      <c r="J59" s="87">
        <f t="shared" si="1"/>
        <v>2</v>
      </c>
      <c r="K59" s="69">
        <f t="shared" si="2"/>
        <v>65</v>
      </c>
      <c r="L59" s="89">
        <f t="shared" si="3"/>
        <v>96.15702514527214</v>
      </c>
      <c r="M59" s="69">
        <f t="shared" si="4"/>
        <v>96.15702514527214</v>
      </c>
      <c r="N59" s="118">
        <f t="shared" si="10"/>
        <v>96</v>
      </c>
      <c r="O59" s="91">
        <f t="shared" si="11"/>
        <v>0.3273684210526312</v>
      </c>
      <c r="P59" s="95">
        <f t="shared" si="12"/>
        <v>0.6470588235294118</v>
      </c>
      <c r="Q59" s="95">
        <f t="shared" si="13"/>
        <v>0.21182662538699668</v>
      </c>
      <c r="R59" s="96">
        <f t="shared" si="14"/>
        <v>0.5295665634674916</v>
      </c>
      <c r="S59" s="95">
        <f t="shared" si="5"/>
        <v>0.3529411764705882</v>
      </c>
      <c r="T59" s="95">
        <f t="shared" si="15"/>
        <v>0.11554179566563454</v>
      </c>
      <c r="U59" s="96">
        <f t="shared" si="16"/>
        <v>0.28885448916408635</v>
      </c>
    </row>
    <row r="60" spans="1:21" ht="18">
      <c r="A60" s="1"/>
      <c r="B60" s="3">
        <f t="shared" si="0"/>
        <v>0.644</v>
      </c>
      <c r="C60" s="66">
        <v>-11</v>
      </c>
      <c r="D60" s="17"/>
      <c r="E60" s="83">
        <f t="shared" si="6"/>
        <v>71.40951565213487</v>
      </c>
      <c r="F60" s="68">
        <f t="shared" si="7"/>
        <v>63.4</v>
      </c>
      <c r="G60" s="17"/>
      <c r="H60" s="69">
        <f t="shared" si="8"/>
        <v>55.30951565213487</v>
      </c>
      <c r="I60" s="69">
        <f t="shared" si="9"/>
        <v>6.935694054042412</v>
      </c>
      <c r="J60" s="87">
        <f t="shared" si="1"/>
        <v>2</v>
      </c>
      <c r="K60" s="69">
        <f t="shared" si="2"/>
        <v>65</v>
      </c>
      <c r="L60" s="89">
        <f t="shared" si="3"/>
        <v>97.25904211182518</v>
      </c>
      <c r="M60" s="69">
        <f t="shared" si="4"/>
        <v>97.25904211182518</v>
      </c>
      <c r="N60" s="118">
        <f t="shared" si="10"/>
        <v>97</v>
      </c>
      <c r="O60" s="91">
        <f t="shared" si="11"/>
        <v>0.3389473684210523</v>
      </c>
      <c r="P60" s="95">
        <f t="shared" si="12"/>
        <v>0.6470588235294118</v>
      </c>
      <c r="Q60" s="95">
        <f t="shared" si="13"/>
        <v>0.2193188854489162</v>
      </c>
      <c r="R60" s="96">
        <f t="shared" si="14"/>
        <v>0.5482972136222906</v>
      </c>
      <c r="S60" s="95">
        <f t="shared" si="5"/>
        <v>0.3529411764705882</v>
      </c>
      <c r="T60" s="95">
        <f t="shared" si="15"/>
        <v>0.11962848297213609</v>
      </c>
      <c r="U60" s="96">
        <f t="shared" si="16"/>
        <v>0.2990712074303402</v>
      </c>
    </row>
    <row r="61" spans="1:21" ht="18">
      <c r="A61" s="1"/>
      <c r="B61" s="3">
        <f t="shared" si="0"/>
        <v>0.667</v>
      </c>
      <c r="C61" s="66">
        <v>-12</v>
      </c>
      <c r="D61" s="17"/>
      <c r="E61" s="83">
        <f t="shared" si="6"/>
        <v>72.9884381435064</v>
      </c>
      <c r="F61" s="68">
        <f t="shared" si="7"/>
        <v>64.7</v>
      </c>
      <c r="G61" s="17"/>
      <c r="H61" s="69">
        <f t="shared" si="8"/>
        <v>56.3134381435064</v>
      </c>
      <c r="I61" s="69">
        <f t="shared" si="9"/>
        <v>7.1833974131153555</v>
      </c>
      <c r="J61" s="87">
        <f t="shared" si="1"/>
        <v>2</v>
      </c>
      <c r="K61" s="69">
        <f t="shared" si="2"/>
        <v>65</v>
      </c>
      <c r="L61" s="89">
        <f t="shared" si="3"/>
        <v>98.41115075867607</v>
      </c>
      <c r="M61" s="69">
        <f t="shared" si="4"/>
        <v>98.41115075867607</v>
      </c>
      <c r="N61" s="118">
        <f t="shared" si="10"/>
        <v>98</v>
      </c>
      <c r="O61" s="91">
        <f t="shared" si="11"/>
        <v>0.35105263157894695</v>
      </c>
      <c r="P61" s="95">
        <f t="shared" si="12"/>
        <v>0.6470588235294118</v>
      </c>
      <c r="Q61" s="95">
        <f t="shared" si="13"/>
        <v>0.22715170278637745</v>
      </c>
      <c r="R61" s="96">
        <f t="shared" si="14"/>
        <v>0.5678792569659437</v>
      </c>
      <c r="S61" s="95">
        <f t="shared" si="5"/>
        <v>0.3529411764705882</v>
      </c>
      <c r="T61" s="95">
        <f t="shared" si="15"/>
        <v>0.1239009287925695</v>
      </c>
      <c r="U61" s="96">
        <f t="shared" si="16"/>
        <v>0.3097523219814238</v>
      </c>
    </row>
    <row r="62" spans="1:21" ht="18">
      <c r="A62" s="1"/>
      <c r="B62" s="3">
        <f t="shared" si="0"/>
        <v>0.689</v>
      </c>
      <c r="C62" s="66">
        <v>-13</v>
      </c>
      <c r="D62" s="17"/>
      <c r="E62" s="83">
        <f t="shared" si="6"/>
        <v>74.49039987303532</v>
      </c>
      <c r="F62" s="68">
        <f t="shared" si="7"/>
        <v>65.9</v>
      </c>
      <c r="G62" s="17"/>
      <c r="H62" s="69">
        <f t="shared" si="8"/>
        <v>57.26539987303532</v>
      </c>
      <c r="I62" s="69">
        <f t="shared" si="9"/>
        <v>7.420331060924258</v>
      </c>
      <c r="J62" s="87">
        <f t="shared" si="1"/>
        <v>2</v>
      </c>
      <c r="K62" s="69">
        <f t="shared" si="2"/>
        <v>65</v>
      </c>
      <c r="L62" s="89">
        <f t="shared" si="3"/>
        <v>99.5131677252291</v>
      </c>
      <c r="M62" s="69">
        <f t="shared" si="4"/>
        <v>99.5131677252291</v>
      </c>
      <c r="N62" s="118">
        <f t="shared" si="10"/>
        <v>100</v>
      </c>
      <c r="O62" s="91">
        <f t="shared" si="11"/>
        <v>0.362631578947368</v>
      </c>
      <c r="P62" s="95">
        <f t="shared" si="12"/>
        <v>0.6470588235294118</v>
      </c>
      <c r="Q62" s="95">
        <f t="shared" si="13"/>
        <v>0.23464396284829697</v>
      </c>
      <c r="R62" s="96">
        <f t="shared" si="14"/>
        <v>0.5866099071207425</v>
      </c>
      <c r="S62" s="95">
        <f t="shared" si="5"/>
        <v>0.3529411764705882</v>
      </c>
      <c r="T62" s="95">
        <f t="shared" si="15"/>
        <v>0.12798761609907106</v>
      </c>
      <c r="U62" s="96">
        <f t="shared" si="16"/>
        <v>0.31996904024767764</v>
      </c>
    </row>
    <row r="63" spans="1:21" ht="18">
      <c r="A63" s="1"/>
      <c r="B63" s="3">
        <f t="shared" si="0"/>
        <v>0.711</v>
      </c>
      <c r="C63" s="66">
        <v>-14</v>
      </c>
      <c r="D63" s="17"/>
      <c r="E63" s="83">
        <f t="shared" si="6"/>
        <v>75.984549652859</v>
      </c>
      <c r="F63" s="68">
        <f t="shared" si="7"/>
        <v>67.1</v>
      </c>
      <c r="G63" s="17"/>
      <c r="H63" s="69">
        <f t="shared" si="8"/>
        <v>58.209549652859</v>
      </c>
      <c r="I63" s="69">
        <f t="shared" si="9"/>
        <v>7.65726470873316</v>
      </c>
      <c r="J63" s="87">
        <f t="shared" si="1"/>
        <v>2</v>
      </c>
      <c r="K63" s="69">
        <f t="shared" si="2"/>
        <v>65</v>
      </c>
      <c r="L63" s="89">
        <f t="shared" si="3"/>
        <v>100.61518469178213</v>
      </c>
      <c r="M63" s="69">
        <f t="shared" si="4"/>
        <v>100.61518469178213</v>
      </c>
      <c r="N63" s="118">
        <f t="shared" si="10"/>
        <v>101</v>
      </c>
      <c r="O63" s="91">
        <f t="shared" si="11"/>
        <v>0.37421052631578905</v>
      </c>
      <c r="P63" s="95">
        <f t="shared" si="12"/>
        <v>0.6470588235294118</v>
      </c>
      <c r="Q63" s="95">
        <f t="shared" si="13"/>
        <v>0.24213622291021644</v>
      </c>
      <c r="R63" s="96">
        <f t="shared" si="14"/>
        <v>0.605340557275541</v>
      </c>
      <c r="S63" s="95">
        <f t="shared" si="5"/>
        <v>0.3529411764705882</v>
      </c>
      <c r="T63" s="95">
        <f t="shared" si="15"/>
        <v>0.1320743034055726</v>
      </c>
      <c r="U63" s="96">
        <f t="shared" si="16"/>
        <v>0.3301857585139315</v>
      </c>
    </row>
    <row r="64" spans="1:21" ht="18">
      <c r="A64" s="1"/>
      <c r="B64" s="3">
        <f t="shared" si="0"/>
        <v>0.733</v>
      </c>
      <c r="C64" s="66">
        <v>-15</v>
      </c>
      <c r="D64" s="17"/>
      <c r="E64" s="83">
        <f t="shared" si="6"/>
        <v>77.47117674477087</v>
      </c>
      <c r="F64" s="68">
        <f t="shared" si="7"/>
        <v>68.3</v>
      </c>
      <c r="G64" s="17"/>
      <c r="H64" s="69">
        <f t="shared" si="8"/>
        <v>59.14617674477087</v>
      </c>
      <c r="I64" s="69">
        <f t="shared" si="9"/>
        <v>7.894198356542061</v>
      </c>
      <c r="J64" s="87">
        <f t="shared" si="1"/>
        <v>2</v>
      </c>
      <c r="K64" s="69">
        <f t="shared" si="2"/>
        <v>65</v>
      </c>
      <c r="L64" s="89">
        <f t="shared" si="3"/>
        <v>101.71720165833517</v>
      </c>
      <c r="M64" s="69">
        <f t="shared" si="4"/>
        <v>101.71720165833517</v>
      </c>
      <c r="N64" s="118">
        <f t="shared" si="10"/>
        <v>102</v>
      </c>
      <c r="O64" s="91">
        <f t="shared" si="11"/>
        <v>0.3857894736842101</v>
      </c>
      <c r="P64" s="95">
        <f t="shared" si="12"/>
        <v>0.6470588235294118</v>
      </c>
      <c r="Q64" s="95">
        <f t="shared" si="13"/>
        <v>0.24962848297213597</v>
      </c>
      <c r="R64" s="96">
        <f t="shared" si="14"/>
        <v>0.62407120743034</v>
      </c>
      <c r="S64" s="95">
        <f t="shared" si="5"/>
        <v>0.3529411764705882</v>
      </c>
      <c r="T64" s="95">
        <f t="shared" si="15"/>
        <v>0.13616099071207416</v>
      </c>
      <c r="U64" s="96">
        <f t="shared" si="16"/>
        <v>0.34040247678018537</v>
      </c>
    </row>
    <row r="65" spans="1:21" ht="18">
      <c r="A65" s="1"/>
      <c r="B65" s="3">
        <f t="shared" si="0"/>
        <v>0.756</v>
      </c>
      <c r="C65" s="66">
        <v>-16</v>
      </c>
      <c r="D65" s="17"/>
      <c r="E65" s="83">
        <f t="shared" si="6"/>
        <v>79.0176274992044</v>
      </c>
      <c r="F65" s="68">
        <f t="shared" si="7"/>
        <v>69.6</v>
      </c>
      <c r="G65" s="17"/>
      <c r="H65" s="69">
        <f t="shared" si="8"/>
        <v>60.117627499204396</v>
      </c>
      <c r="I65" s="69">
        <f t="shared" si="9"/>
        <v>8.141901715615006</v>
      </c>
      <c r="J65" s="87">
        <f t="shared" si="1"/>
        <v>2</v>
      </c>
      <c r="K65" s="69">
        <f t="shared" si="2"/>
        <v>65</v>
      </c>
      <c r="L65" s="89">
        <f t="shared" si="3"/>
        <v>102.86931030518608</v>
      </c>
      <c r="M65" s="69">
        <f t="shared" si="4"/>
        <v>102.86931030518608</v>
      </c>
      <c r="N65" s="118">
        <f t="shared" si="10"/>
        <v>103</v>
      </c>
      <c r="O65" s="91">
        <f t="shared" si="11"/>
        <v>0.39789473684210486</v>
      </c>
      <c r="P65" s="95">
        <f t="shared" si="12"/>
        <v>0.6470588235294118</v>
      </c>
      <c r="Q65" s="95">
        <f t="shared" si="13"/>
        <v>0.2574613003095973</v>
      </c>
      <c r="R65" s="96">
        <f t="shared" si="14"/>
        <v>0.6436532507739933</v>
      </c>
      <c r="S65" s="95">
        <f t="shared" si="5"/>
        <v>0.3529411764705882</v>
      </c>
      <c r="T65" s="95">
        <f t="shared" si="15"/>
        <v>0.1404334365325076</v>
      </c>
      <c r="U65" s="96">
        <f t="shared" si="16"/>
        <v>0.351083591331269</v>
      </c>
    </row>
    <row r="66" spans="1:21" ht="18">
      <c r="A66" s="1"/>
      <c r="B66" s="3">
        <f t="shared" si="0"/>
        <v>0.778</v>
      </c>
      <c r="C66" s="66">
        <v>-17</v>
      </c>
      <c r="D66" s="17"/>
      <c r="E66" s="83">
        <f t="shared" si="6"/>
        <v>80.48969015615921</v>
      </c>
      <c r="F66" s="68">
        <f t="shared" si="7"/>
        <v>70.8</v>
      </c>
      <c r="G66" s="17"/>
      <c r="H66" s="69">
        <f t="shared" si="8"/>
        <v>61.03969015615921</v>
      </c>
      <c r="I66" s="69">
        <f t="shared" si="9"/>
        <v>8.378835363423908</v>
      </c>
      <c r="J66" s="87">
        <f t="shared" si="1"/>
        <v>2</v>
      </c>
      <c r="K66" s="69">
        <f t="shared" si="2"/>
        <v>65</v>
      </c>
      <c r="L66" s="89">
        <f t="shared" si="3"/>
        <v>103.97132727173911</v>
      </c>
      <c r="M66" s="69">
        <f t="shared" si="4"/>
        <v>103.97132727173911</v>
      </c>
      <c r="N66" s="118">
        <f t="shared" si="10"/>
        <v>104</v>
      </c>
      <c r="O66" s="91">
        <f t="shared" si="11"/>
        <v>0.4094736842105259</v>
      </c>
      <c r="P66" s="95">
        <f t="shared" si="12"/>
        <v>0.6470588235294118</v>
      </c>
      <c r="Q66" s="95">
        <f t="shared" si="13"/>
        <v>0.26495356037151674</v>
      </c>
      <c r="R66" s="96">
        <f t="shared" si="14"/>
        <v>0.6623839009287918</v>
      </c>
      <c r="S66" s="95">
        <f t="shared" si="5"/>
        <v>0.3529411764705882</v>
      </c>
      <c r="T66" s="95">
        <f t="shared" si="15"/>
        <v>0.1445201238390091</v>
      </c>
      <c r="U66" s="96">
        <f t="shared" si="16"/>
        <v>0.3613003095975228</v>
      </c>
    </row>
    <row r="67" spans="1:21" ht="18">
      <c r="A67" s="1"/>
      <c r="B67" s="3">
        <f t="shared" si="0"/>
        <v>0.8</v>
      </c>
      <c r="C67" s="66">
        <v>-18</v>
      </c>
      <c r="D67" s="17"/>
      <c r="E67" s="83">
        <f t="shared" si="6"/>
        <v>81.95500091370971</v>
      </c>
      <c r="F67" s="68">
        <f t="shared" si="7"/>
        <v>72</v>
      </c>
      <c r="G67" s="17"/>
      <c r="H67" s="69">
        <f t="shared" si="8"/>
        <v>61.95500091370971</v>
      </c>
      <c r="I67" s="69">
        <f t="shared" si="9"/>
        <v>8.61576901123281</v>
      </c>
      <c r="J67" s="87">
        <f t="shared" si="1"/>
        <v>3</v>
      </c>
      <c r="K67" s="69">
        <f t="shared" si="2"/>
        <v>65</v>
      </c>
      <c r="L67" s="89">
        <f t="shared" si="3"/>
        <v>91.7155628255281</v>
      </c>
      <c r="M67" s="69">
        <f t="shared" si="4"/>
        <v>91.7155628255281</v>
      </c>
      <c r="N67" s="118">
        <f t="shared" si="10"/>
        <v>92</v>
      </c>
      <c r="O67" s="91">
        <f t="shared" si="11"/>
        <v>0.4210526315789469</v>
      </c>
      <c r="P67" s="95">
        <f t="shared" si="12"/>
        <v>0.6470588235294118</v>
      </c>
      <c r="Q67" s="95">
        <f t="shared" si="13"/>
        <v>0.27244582043343624</v>
      </c>
      <c r="R67" s="96">
        <f t="shared" si="14"/>
        <v>0.6811145510835905</v>
      </c>
      <c r="S67" s="95">
        <f t="shared" si="5"/>
        <v>0.3529411764705882</v>
      </c>
      <c r="T67" s="95">
        <f t="shared" si="15"/>
        <v>0.14860681114551066</v>
      </c>
      <c r="U67" s="96">
        <f t="shared" si="16"/>
        <v>0.37151702786377666</v>
      </c>
    </row>
    <row r="68" spans="1:21" ht="18">
      <c r="A68" s="1"/>
      <c r="B68" s="3">
        <f t="shared" si="0"/>
        <v>0.822</v>
      </c>
      <c r="C68" s="66">
        <v>-19</v>
      </c>
      <c r="D68" s="17"/>
      <c r="E68" s="83">
        <f t="shared" si="6"/>
        <v>83.41378202959311</v>
      </c>
      <c r="F68" s="68">
        <f t="shared" si="7"/>
        <v>73.1</v>
      </c>
      <c r="G68" s="17"/>
      <c r="H68" s="69">
        <f t="shared" si="8"/>
        <v>62.86378202959311</v>
      </c>
      <c r="I68" s="69">
        <f t="shared" si="9"/>
        <v>8.85270265904171</v>
      </c>
      <c r="J68" s="87">
        <f t="shared" si="1"/>
        <v>3</v>
      </c>
      <c r="K68" s="69">
        <f t="shared" si="2"/>
        <v>65</v>
      </c>
      <c r="L68" s="89">
        <f t="shared" si="3"/>
        <v>92.45024080323012</v>
      </c>
      <c r="M68" s="69">
        <f t="shared" si="4"/>
        <v>92.45024080323012</v>
      </c>
      <c r="N68" s="118">
        <f t="shared" si="10"/>
        <v>92</v>
      </c>
      <c r="O68" s="91">
        <f t="shared" si="11"/>
        <v>0.43263157894736787</v>
      </c>
      <c r="P68" s="95">
        <f t="shared" si="12"/>
        <v>0.6470588235294118</v>
      </c>
      <c r="Q68" s="95">
        <f t="shared" si="13"/>
        <v>0.2799380804953557</v>
      </c>
      <c r="R68" s="96">
        <f t="shared" si="14"/>
        <v>0.6998452012383891</v>
      </c>
      <c r="S68" s="95">
        <f t="shared" si="5"/>
        <v>0.3529411764705882</v>
      </c>
      <c r="T68" s="95">
        <f t="shared" si="15"/>
        <v>0.15269349845201216</v>
      </c>
      <c r="U68" s="96">
        <f t="shared" si="16"/>
        <v>0.3817337461300304</v>
      </c>
    </row>
    <row r="69" spans="1:21" ht="18">
      <c r="A69" s="1"/>
      <c r="B69" s="3">
        <f t="shared" si="0"/>
        <v>0.844</v>
      </c>
      <c r="C69" s="66">
        <v>-20</v>
      </c>
      <c r="D69" s="17"/>
      <c r="E69" s="83">
        <f t="shared" si="6"/>
        <v>84.86624270516593</v>
      </c>
      <c r="F69" s="68">
        <f t="shared" si="7"/>
        <v>74.3</v>
      </c>
      <c r="G69" s="17"/>
      <c r="H69" s="69">
        <f t="shared" si="8"/>
        <v>63.766242705165936</v>
      </c>
      <c r="I69" s="69">
        <f t="shared" si="9"/>
        <v>9.089636306850615</v>
      </c>
      <c r="J69" s="87">
        <f t="shared" si="1"/>
        <v>3</v>
      </c>
      <c r="K69" s="69">
        <f t="shared" si="2"/>
        <v>65</v>
      </c>
      <c r="L69" s="89">
        <f t="shared" si="3"/>
        <v>93.18491878093214</v>
      </c>
      <c r="M69" s="69">
        <f t="shared" si="4"/>
        <v>93.18491878093214</v>
      </c>
      <c r="N69" s="118">
        <f t="shared" si="10"/>
        <v>93</v>
      </c>
      <c r="O69" s="91">
        <f t="shared" si="11"/>
        <v>0.44421052631578894</v>
      </c>
      <c r="P69" s="95">
        <f t="shared" si="12"/>
        <v>0.6470588235294118</v>
      </c>
      <c r="Q69" s="95">
        <f t="shared" si="13"/>
        <v>0.28743034055727523</v>
      </c>
      <c r="R69" s="96">
        <f t="shared" si="14"/>
        <v>0.7185758513931881</v>
      </c>
      <c r="S69" s="95">
        <f t="shared" si="5"/>
        <v>0.3529411764705882</v>
      </c>
      <c r="T69" s="95">
        <f t="shared" si="15"/>
        <v>0.15678018575851374</v>
      </c>
      <c r="U69" s="96">
        <f t="shared" si="16"/>
        <v>0.39195046439628434</v>
      </c>
    </row>
    <row r="70" spans="1:21" ht="18">
      <c r="A70" s="1"/>
      <c r="B70" s="3">
        <f t="shared" si="0"/>
        <v>0.867</v>
      </c>
      <c r="C70" s="66">
        <v>-21</v>
      </c>
      <c r="D70" s="17"/>
      <c r="E70" s="83">
        <f t="shared" si="6"/>
        <v>86.3781803522092</v>
      </c>
      <c r="F70" s="68">
        <f t="shared" si="7"/>
        <v>75.5</v>
      </c>
      <c r="G70" s="17"/>
      <c r="H70" s="69">
        <f t="shared" si="8"/>
        <v>64.7031803522092</v>
      </c>
      <c r="I70" s="69">
        <f t="shared" si="9"/>
        <v>9.337339665923558</v>
      </c>
      <c r="J70" s="87">
        <f t="shared" si="1"/>
        <v>3</v>
      </c>
      <c r="K70" s="69">
        <f t="shared" si="2"/>
        <v>65</v>
      </c>
      <c r="L70" s="89">
        <f t="shared" si="3"/>
        <v>93.95299121216607</v>
      </c>
      <c r="M70" s="69">
        <f t="shared" si="4"/>
        <v>93.95299121216607</v>
      </c>
      <c r="N70" s="118">
        <f t="shared" si="10"/>
        <v>94</v>
      </c>
      <c r="O70" s="91">
        <f t="shared" si="11"/>
        <v>0.4563157894736837</v>
      </c>
      <c r="P70" s="95">
        <f t="shared" si="12"/>
        <v>0.6470588235294118</v>
      </c>
      <c r="Q70" s="95">
        <f t="shared" si="13"/>
        <v>0.2952631578947365</v>
      </c>
      <c r="R70" s="96">
        <f t="shared" si="14"/>
        <v>0.7381578947368412</v>
      </c>
      <c r="S70" s="95">
        <f t="shared" si="5"/>
        <v>0.3529411764705882</v>
      </c>
      <c r="T70" s="95">
        <f t="shared" si="15"/>
        <v>0.16105263157894717</v>
      </c>
      <c r="U70" s="96">
        <f t="shared" si="16"/>
        <v>0.40263157894736795</v>
      </c>
    </row>
    <row r="71" spans="1:21" ht="18">
      <c r="A71" s="1"/>
      <c r="B71" s="3">
        <f t="shared" si="0"/>
        <v>0.889</v>
      </c>
      <c r="C71" s="66">
        <v>-22</v>
      </c>
      <c r="D71" s="17"/>
      <c r="E71" s="83">
        <f t="shared" si="6"/>
        <v>87.81831523876478</v>
      </c>
      <c r="F71" s="68">
        <f t="shared" si="7"/>
        <v>76.7</v>
      </c>
      <c r="G71" s="17"/>
      <c r="H71" s="69">
        <f t="shared" si="8"/>
        <v>65.59331523876477</v>
      </c>
      <c r="I71" s="69">
        <f t="shared" si="9"/>
        <v>9.574273313732458</v>
      </c>
      <c r="J71" s="87">
        <f t="shared" si="1"/>
        <v>3</v>
      </c>
      <c r="K71" s="69">
        <f t="shared" si="2"/>
        <v>65.18046694155115</v>
      </c>
      <c r="L71" s="89">
        <f t="shared" si="3"/>
        <v>94.86813613141923</v>
      </c>
      <c r="M71" s="69">
        <f t="shared" si="4"/>
        <v>94.86813613141923</v>
      </c>
      <c r="N71" s="118">
        <f t="shared" si="10"/>
        <v>95</v>
      </c>
      <c r="O71" s="91">
        <f t="shared" si="11"/>
        <v>0.46789473684210475</v>
      </c>
      <c r="P71" s="95">
        <f t="shared" si="12"/>
        <v>0.6470588235294118</v>
      </c>
      <c r="Q71" s="95">
        <f t="shared" si="13"/>
        <v>0.30275541795665606</v>
      </c>
      <c r="R71" s="96">
        <f t="shared" si="14"/>
        <v>0.7568885448916401</v>
      </c>
      <c r="S71" s="95">
        <f t="shared" si="5"/>
        <v>0.3529411764705882</v>
      </c>
      <c r="T71" s="95">
        <f t="shared" si="15"/>
        <v>0.16513931888544872</v>
      </c>
      <c r="U71" s="96">
        <f t="shared" si="16"/>
        <v>0.41284829721362176</v>
      </c>
    </row>
    <row r="72" spans="1:21" ht="18">
      <c r="A72" s="1"/>
      <c r="B72" s="3">
        <f t="shared" si="0"/>
        <v>0.911</v>
      </c>
      <c r="C72" s="66">
        <v>-23</v>
      </c>
      <c r="D72" s="17"/>
      <c r="E72" s="83">
        <f t="shared" si="6"/>
        <v>89.2526970313154</v>
      </c>
      <c r="F72" s="68">
        <f t="shared" si="7"/>
        <v>77.9</v>
      </c>
      <c r="G72" s="17"/>
      <c r="H72" s="69">
        <f t="shared" si="8"/>
        <v>66.4776970313154</v>
      </c>
      <c r="I72" s="69">
        <f t="shared" si="9"/>
        <v>9.811206961541364</v>
      </c>
      <c r="J72" s="87">
        <f t="shared" si="1"/>
        <v>3</v>
      </c>
      <c r="K72" s="69">
        <f t="shared" si="2"/>
        <v>66.05463201583552</v>
      </c>
      <c r="L72" s="89">
        <f t="shared" si="3"/>
        <v>96.47697918340565</v>
      </c>
      <c r="M72" s="69">
        <f t="shared" si="4"/>
        <v>96.47697918340565</v>
      </c>
      <c r="N72" s="118">
        <f t="shared" si="10"/>
        <v>96</v>
      </c>
      <c r="O72" s="91">
        <f t="shared" si="11"/>
        <v>0.4794736842105258</v>
      </c>
      <c r="P72" s="95">
        <f t="shared" si="12"/>
        <v>0.6470588235294118</v>
      </c>
      <c r="Q72" s="95">
        <f t="shared" si="13"/>
        <v>0.3102476780185755</v>
      </c>
      <c r="R72" s="96">
        <f t="shared" si="14"/>
        <v>0.7756191950464387</v>
      </c>
      <c r="S72" s="95">
        <f t="shared" si="5"/>
        <v>0.3529411764705882</v>
      </c>
      <c r="T72" s="95">
        <f t="shared" si="15"/>
        <v>0.16922600619195025</v>
      </c>
      <c r="U72" s="96">
        <f t="shared" si="16"/>
        <v>0.4230650154798756</v>
      </c>
    </row>
    <row r="73" spans="1:21" ht="18">
      <c r="A73" s="1"/>
      <c r="B73" s="3">
        <f t="shared" si="0"/>
        <v>0.933</v>
      </c>
      <c r="C73" s="66">
        <v>-24</v>
      </c>
      <c r="D73" s="17"/>
      <c r="E73" s="83">
        <f t="shared" si="6"/>
        <v>90.68149208029203</v>
      </c>
      <c r="F73" s="68">
        <f t="shared" si="7"/>
        <v>79</v>
      </c>
      <c r="G73" s="17"/>
      <c r="H73" s="69">
        <f t="shared" si="8"/>
        <v>67.35649208029203</v>
      </c>
      <c r="I73" s="69">
        <f t="shared" si="9"/>
        <v>10.048140609350266</v>
      </c>
      <c r="J73" s="87">
        <f t="shared" si="1"/>
        <v>3</v>
      </c>
      <c r="K73" s="69">
        <f t="shared" si="2"/>
        <v>66.9232103465459</v>
      </c>
      <c r="L73" s="89">
        <f t="shared" si="3"/>
        <v>98.08023549181804</v>
      </c>
      <c r="M73" s="69">
        <f t="shared" si="4"/>
        <v>98.08023549181804</v>
      </c>
      <c r="N73" s="118">
        <f t="shared" si="10"/>
        <v>98</v>
      </c>
      <c r="O73" s="91">
        <f t="shared" si="11"/>
        <v>0.49105263157894685</v>
      </c>
      <c r="P73" s="95">
        <f t="shared" si="12"/>
        <v>0.6470588235294118</v>
      </c>
      <c r="Q73" s="95">
        <f t="shared" si="13"/>
        <v>0.31773993808049505</v>
      </c>
      <c r="R73" s="96">
        <f t="shared" si="14"/>
        <v>0.7943498452012376</v>
      </c>
      <c r="S73" s="95">
        <f t="shared" si="5"/>
        <v>0.3529411764705882</v>
      </c>
      <c r="T73" s="95">
        <f t="shared" si="15"/>
        <v>0.17331269349845183</v>
      </c>
      <c r="U73" s="96">
        <f t="shared" si="16"/>
        <v>0.43328173374612955</v>
      </c>
    </row>
    <row r="74" spans="1:21" ht="18">
      <c r="A74" s="1"/>
      <c r="B74" s="3">
        <f t="shared" si="0"/>
        <v>0.956</v>
      </c>
      <c r="C74" s="66">
        <v>-25</v>
      </c>
      <c r="D74" s="17"/>
      <c r="E74" s="83">
        <f t="shared" si="6"/>
        <v>92.16943004175394</v>
      </c>
      <c r="F74" s="68">
        <f t="shared" si="7"/>
        <v>80.2</v>
      </c>
      <c r="G74" s="17"/>
      <c r="H74" s="69">
        <f t="shared" si="8"/>
        <v>68.26943004175394</v>
      </c>
      <c r="I74" s="69">
        <f t="shared" si="9"/>
        <v>10.295843968423208</v>
      </c>
      <c r="J74" s="87">
        <f t="shared" si="1"/>
        <v>3</v>
      </c>
      <c r="K74" s="69">
        <f t="shared" si="2"/>
        <v>67.82546719345672</v>
      </c>
      <c r="L74" s="89">
        <f t="shared" si="3"/>
        <v>99.75056476996278</v>
      </c>
      <c r="M74" s="69">
        <f t="shared" si="4"/>
        <v>99.75056476996278</v>
      </c>
      <c r="N74" s="118">
        <f t="shared" si="10"/>
        <v>100</v>
      </c>
      <c r="O74" s="91">
        <f t="shared" si="11"/>
        <v>0.5031578947368415</v>
      </c>
      <c r="P74" s="95">
        <f t="shared" si="12"/>
        <v>0.6470588235294118</v>
      </c>
      <c r="Q74" s="95">
        <f t="shared" si="13"/>
        <v>0.32557275541795627</v>
      </c>
      <c r="R74" s="96">
        <f t="shared" si="14"/>
        <v>0.8139318885448906</v>
      </c>
      <c r="S74" s="95">
        <f t="shared" si="5"/>
        <v>0.3529411764705882</v>
      </c>
      <c r="T74" s="95">
        <f t="shared" si="15"/>
        <v>0.1775851393188852</v>
      </c>
      <c r="U74" s="96">
        <f t="shared" si="16"/>
        <v>0.443962848297213</v>
      </c>
    </row>
    <row r="75" spans="1:21" ht="18">
      <c r="A75" s="1"/>
      <c r="B75" s="3">
        <f t="shared" si="0"/>
        <v>0.978</v>
      </c>
      <c r="C75" s="66">
        <v>-26</v>
      </c>
      <c r="D75" s="17"/>
      <c r="E75" s="83">
        <f t="shared" si="6"/>
        <v>93.5872803127977</v>
      </c>
      <c r="F75" s="68">
        <f t="shared" si="7"/>
        <v>81.4</v>
      </c>
      <c r="G75" s="17"/>
      <c r="H75" s="69">
        <f t="shared" si="8"/>
        <v>69.1372803127977</v>
      </c>
      <c r="I75" s="69">
        <f t="shared" si="9"/>
        <v>10.532777616232112</v>
      </c>
      <c r="J75" s="87">
        <f t="shared" si="1"/>
        <v>3</v>
      </c>
      <c r="K75" s="69">
        <f t="shared" si="2"/>
        <v>68.68310074623423</v>
      </c>
      <c r="L75" s="89">
        <f t="shared" si="3"/>
        <v>101.34287630044233</v>
      </c>
      <c r="M75" s="69">
        <f t="shared" si="4"/>
        <v>101.34287630044233</v>
      </c>
      <c r="N75" s="119">
        <f t="shared" si="10"/>
        <v>101</v>
      </c>
      <c r="O75" s="91">
        <f t="shared" si="11"/>
        <v>0.5147368421052626</v>
      </c>
      <c r="P75" s="95">
        <f t="shared" si="12"/>
        <v>0.6470588235294118</v>
      </c>
      <c r="Q75" s="95">
        <f t="shared" si="13"/>
        <v>0.3330650154798758</v>
      </c>
      <c r="R75" s="96">
        <f t="shared" si="14"/>
        <v>0.8326625386996895</v>
      </c>
      <c r="S75" s="95">
        <f t="shared" si="5"/>
        <v>0.3529411764705882</v>
      </c>
      <c r="T75" s="95">
        <f t="shared" si="15"/>
        <v>0.18167182662538678</v>
      </c>
      <c r="U75" s="96">
        <f t="shared" si="16"/>
        <v>0.454179566563467</v>
      </c>
    </row>
    <row r="76" spans="1:21" ht="18">
      <c r="A76" s="1"/>
      <c r="B76" s="3">
        <f t="shared" si="0"/>
        <v>1</v>
      </c>
      <c r="C76" s="81">
        <v>-27</v>
      </c>
      <c r="D76" s="17"/>
      <c r="E76" s="105">
        <f t="shared" si="6"/>
        <v>95</v>
      </c>
      <c r="F76" s="82">
        <f t="shared" si="7"/>
        <v>82.5</v>
      </c>
      <c r="G76" s="17"/>
      <c r="H76" s="85">
        <f t="shared" si="8"/>
        <v>70</v>
      </c>
      <c r="I76" s="85">
        <f t="shared" si="9"/>
        <v>10.769711264041012</v>
      </c>
      <c r="J76" s="88">
        <f t="shared" si="1"/>
        <v>3</v>
      </c>
      <c r="K76" s="85">
        <f t="shared" si="2"/>
        <v>69.53560371517028</v>
      </c>
      <c r="L76" s="106">
        <f t="shared" si="3"/>
        <v>102.9300572470804</v>
      </c>
      <c r="M76" s="85">
        <f t="shared" si="4"/>
        <v>102.9300572470804</v>
      </c>
      <c r="N76" s="120">
        <f t="shared" si="10"/>
        <v>103</v>
      </c>
      <c r="O76" s="92">
        <f t="shared" si="11"/>
        <v>0.5263157894736836</v>
      </c>
      <c r="P76" s="97">
        <f t="shared" si="12"/>
        <v>0.6470588235294118</v>
      </c>
      <c r="Q76" s="97">
        <f t="shared" si="13"/>
        <v>0.3405572755417953</v>
      </c>
      <c r="R76" s="98">
        <f t="shared" si="14"/>
        <v>0.8513931888544883</v>
      </c>
      <c r="S76" s="97">
        <f t="shared" si="5"/>
        <v>0.3529411764705882</v>
      </c>
      <c r="T76" s="97">
        <f t="shared" si="15"/>
        <v>0.18575851393188833</v>
      </c>
      <c r="U76" s="98">
        <f t="shared" si="16"/>
        <v>0.46439628482972084</v>
      </c>
    </row>
    <row r="77" ht="13.5" thickBot="1"/>
    <row r="78" spans="2:23" ht="19.5" customHeight="1" thickBot="1" thickTop="1">
      <c r="B78" s="70">
        <f>ROUND((C78-$B$6)/($B$5-$B$6),3)</f>
        <v>0.222</v>
      </c>
      <c r="C78" s="28">
        <f>E18</f>
        <v>8</v>
      </c>
      <c r="D78" s="121"/>
      <c r="E78" s="99">
        <f>IF(D78&gt;0,D78,($B$6+($B$10-$B$6)*($B78^$B$9)+($B$7-$B$10)*$B78))</f>
        <v>40.12326799396626</v>
      </c>
      <c r="F78" s="54">
        <f>ROUND((E78+H78)/2,1)</f>
        <v>37.3</v>
      </c>
      <c r="G78" s="121"/>
      <c r="H78" s="29">
        <f>IF(G78&gt;0,G78,($E78-($B$7-$B$8)*$B78))</f>
        <v>34.57326799396626</v>
      </c>
      <c r="I78" s="29">
        <f>($B$21*$B78+$B$22)*100/(100-$B$20)</f>
        <v>2.3908759006171048</v>
      </c>
      <c r="J78" s="100">
        <f>ROUNDUP(($I78/$B$23),0)</f>
        <v>1</v>
      </c>
      <c r="K78" s="29">
        <f>IF(($H78-$U78)&gt;$B$29,($H78-$U78),$B$29)</f>
        <v>65</v>
      </c>
      <c r="L78" s="101">
        <f>$K78+$I78/(0.001*$B$28*J78)</f>
        <v>87.24070605225214</v>
      </c>
      <c r="M78" s="29">
        <f>IF(($E78+$R78)&gt;$L78,($E78+$R78),$L78)</f>
        <v>87.24070605225214</v>
      </c>
      <c r="N78" s="70"/>
      <c r="O78" s="102">
        <f>((100/(100-$B$14)-1)*($B$11*$B78+$B$12))</f>
        <v>0.11684210526315778</v>
      </c>
      <c r="P78" s="103">
        <f>(($B$7-$B$15)/($B$7+$B$8-2*$B$15))</f>
        <v>0.6470588235294118</v>
      </c>
      <c r="Q78" s="103">
        <f>($O78*$P78)</f>
        <v>0.07560371517027857</v>
      </c>
      <c r="R78" s="104">
        <f>($Q78*($B$7-$B$8)/($B$11+$B$12))</f>
        <v>0.18900928792569643</v>
      </c>
      <c r="S78" s="103">
        <f>1-$P78</f>
        <v>0.3529411764705882</v>
      </c>
      <c r="T78" s="103">
        <f>($O78*$S78)</f>
        <v>0.04123839009287921</v>
      </c>
      <c r="U78" s="104">
        <f>($T78*($B$7-$B$8)/($B$11+$B$12))</f>
        <v>0.10309597523219802</v>
      </c>
      <c r="W78" s="80"/>
    </row>
    <row r="79" ht="13.5" thickTop="1"/>
  </sheetData>
  <sheetProtection/>
  <printOptions horizontalCentered="1"/>
  <pageMargins left="0.984251968503937" right="0.3937007874015748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Kitchen_PC</cp:lastModifiedBy>
  <cp:lastPrinted>2024-03-12T06:05:21Z</cp:lastPrinted>
  <dcterms:created xsi:type="dcterms:W3CDTF">2002-10-11T04:28:15Z</dcterms:created>
  <dcterms:modified xsi:type="dcterms:W3CDTF">2024-03-16T18:15:42Z</dcterms:modified>
  <cp:category/>
  <cp:version/>
  <cp:contentType/>
  <cp:contentStatus/>
</cp:coreProperties>
</file>